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085" yWindow="300" windowWidth="13350" windowHeight="11325" tabRatio="645" activeTab="18"/>
  </bookViews>
  <sheets>
    <sheet name="Пр.1. дох.21" sheetId="12" r:id="rId1"/>
    <sheet name="Пр.1.1. дох.22-23 (2)" sheetId="19" state="hidden" r:id="rId2"/>
    <sheet name="пр.2 Рд,пр 21" sheetId="2" r:id="rId3"/>
    <sheet name="пр.2.1. рдпр 22-23" sheetId="13" state="hidden" r:id="rId4"/>
    <sheet name="Пр.3 Рд,пр, ЦС,ВР 21" sheetId="3" r:id="rId5"/>
    <sheet name="пр.4.1. рдпр 22-23 (2)" sheetId="20" state="hidden" r:id="rId6"/>
    <sheet name="пр.3.1.рдпрцс 22-23" sheetId="14" state="hidden" r:id="rId7"/>
    <sheet name="пр.5.1.рдпрцс 22-23 (2)" sheetId="21" state="hidden" r:id="rId8"/>
    <sheet name="Пр.4 ведом.21" sheetId="4" r:id="rId9"/>
    <sheet name="Прил.№5 ведомств.старая" sheetId="10" state="hidden" r:id="rId10"/>
    <sheet name="пр.4.1.ведом.22-23" sheetId="15" state="hidden" r:id="rId11"/>
    <sheet name="пр.6.1.ведом.22-23 (2)" sheetId="22" state="hidden" r:id="rId12"/>
    <sheet name="пр.5 МП 21" sheetId="5" r:id="rId13"/>
    <sheet name="прил.№6 МП старая" sheetId="11" state="hidden" r:id="rId14"/>
    <sheet name="пр.5.1.МП 22-23" sheetId="16" state="hidden" r:id="rId15"/>
    <sheet name="пр.6 публ. 21" sheetId="6" r:id="rId16"/>
    <sheet name="пр.6.1.публ.22-23" sheetId="17" state="hidden" r:id="rId17"/>
    <sheet name="пр.7.1.МП 22-23 (2)" sheetId="23" state="hidden" r:id="rId18"/>
    <sheet name="пр.7 ист-ки 21" sheetId="7" r:id="rId19"/>
    <sheet name="пр.8.1.ист-ки 22-23  (2)" sheetId="24" state="hidden" r:id="rId20"/>
    <sheet name="пр.8.1.ист-ки 22-23 " sheetId="18" state="hidden" r:id="rId21"/>
    <sheet name="Лист1" sheetId="25" state="hidden" r:id="rId22"/>
  </sheets>
  <externalReferences>
    <externalReference r:id="rId23"/>
    <externalReference r:id="rId24"/>
  </externalReferences>
  <definedNames>
    <definedName name="_xlnm._FilterDatabase" localSheetId="4" hidden="1">'Пр.3 Рд,пр, ЦС,ВР 21'!$A$7:$F$1120</definedName>
    <definedName name="_xlnm._FilterDatabase" localSheetId="6" hidden="1">'пр.3.1.рдпрцс 22-23'!$A$7:$G$972</definedName>
    <definedName name="_xlnm._FilterDatabase" localSheetId="8" hidden="1">'Пр.4 ведом.21'!$A$8:$G$1180</definedName>
    <definedName name="_xlnm._FilterDatabase" localSheetId="7" hidden="1">'пр.5.1.рдпрцс 22-23 (2)'!$A$7:$G$972</definedName>
    <definedName name="_xlnm.Print_Area" localSheetId="21">Лист1!$A$1:$H$25</definedName>
    <definedName name="_xlnm.Print_Area" localSheetId="0">'Пр.1. дох.21'!$A$1:$E$197</definedName>
    <definedName name="_xlnm.Print_Area" localSheetId="1">'Пр.1.1. дох.22-23 (2)'!$A$1:$D$155</definedName>
    <definedName name="_xlnm.Print_Area" localSheetId="2">'пр.2 Рд,пр 21'!$A$1:$F$51</definedName>
    <definedName name="_xlnm.Print_Area" localSheetId="3">'пр.2.1. рдпр 22-23'!$A$1:$E$51</definedName>
    <definedName name="_xlnm.Print_Area" localSheetId="4">'Пр.3 Рд,пр, ЦС,ВР 21'!$A$1:$H$1118</definedName>
    <definedName name="_xlnm.Print_Area" localSheetId="6">'пр.3.1.рдпрцс 22-23'!$A$1:$G$970</definedName>
    <definedName name="_xlnm.Print_Area" localSheetId="8">'Пр.4 ведом.21'!$A$1:$I$1245</definedName>
    <definedName name="_xlnm.Print_Area" localSheetId="10">'пр.4.1.ведом.22-23'!$A$1:$H$1094</definedName>
    <definedName name="_xlnm.Print_Area" localSheetId="12">'пр.5 МП 21'!$A$1:$I$994</definedName>
    <definedName name="_xlnm.Print_Area" localSheetId="14">'пр.5.1.МП 22-23'!$A$1:$H$893</definedName>
    <definedName name="_xlnm.Print_Area" localSheetId="7">'пр.5.1.рдпрцс 22-23 (2)'!$A$1:$G$970</definedName>
    <definedName name="_xlnm.Print_Area" localSheetId="11">'пр.6.1.ведом.22-23 (2)'!$A$1:$AM$1108</definedName>
    <definedName name="_xlnm.Print_Area" localSheetId="18">'пр.7 ист-ки 21'!$A$1:$E$15</definedName>
    <definedName name="_xlnm.Print_Area" localSheetId="17">'пр.7.1.МП 22-23 (2)'!$A$1:$H$893</definedName>
    <definedName name="_xlnm.Print_Area" localSheetId="9">'Прил.№5 ведомств.старая'!$A$1:$H$975</definedName>
    <definedName name="_xlnm.Print_Area" localSheetId="13">'прил.№6 МП старая'!$A$1:$G$534</definedName>
  </definedNames>
  <calcPr calcId="145621"/>
  <fileRecoveryPr repairLoad="1"/>
</workbook>
</file>

<file path=xl/calcChain.xml><?xml version="1.0" encoding="utf-8"?>
<calcChain xmlns="http://schemas.openxmlformats.org/spreadsheetml/2006/main">
  <c r="E13" i="7" l="1"/>
  <c r="E196" i="12" l="1"/>
  <c r="E195" i="12"/>
  <c r="E194" i="12"/>
  <c r="D193" i="12"/>
  <c r="D192" i="12" s="1"/>
  <c r="D191" i="12" s="1"/>
  <c r="C193" i="12"/>
  <c r="C192" i="12" s="1"/>
  <c r="C191" i="12" s="1"/>
  <c r="E190" i="12"/>
  <c r="E189" i="12"/>
  <c r="D186" i="12"/>
  <c r="C186" i="12"/>
  <c r="C185" i="12"/>
  <c r="E185" i="12" s="1"/>
  <c r="D184" i="12"/>
  <c r="D183" i="12" s="1"/>
  <c r="C184" i="12"/>
  <c r="C183" i="12" s="1"/>
  <c r="E182" i="12"/>
  <c r="D181" i="12"/>
  <c r="C181" i="12"/>
  <c r="E180" i="12"/>
  <c r="D179" i="12"/>
  <c r="C179" i="12"/>
  <c r="E178" i="12"/>
  <c r="E177" i="12"/>
  <c r="E176" i="12"/>
  <c r="D175" i="12"/>
  <c r="D174" i="12" s="1"/>
  <c r="C175" i="12"/>
  <c r="C174" i="12" s="1"/>
  <c r="C169" i="12" s="1"/>
  <c r="C173" i="12"/>
  <c r="E173" i="12" s="1"/>
  <c r="D172" i="12"/>
  <c r="C172" i="12"/>
  <c r="E171" i="12"/>
  <c r="D170" i="12"/>
  <c r="C170" i="12"/>
  <c r="C168" i="12"/>
  <c r="E168" i="12" s="1"/>
  <c r="D167" i="12"/>
  <c r="C167" i="12"/>
  <c r="E166" i="12"/>
  <c r="D165" i="12"/>
  <c r="C165" i="12"/>
  <c r="E164" i="12"/>
  <c r="D163" i="12"/>
  <c r="C163" i="12"/>
  <c r="E162" i="12"/>
  <c r="C162" i="12"/>
  <c r="E161" i="12"/>
  <c r="C160" i="12"/>
  <c r="E160" i="12" s="1"/>
  <c r="D159" i="12"/>
  <c r="E158" i="12"/>
  <c r="C157" i="12"/>
  <c r="E157" i="12" s="1"/>
  <c r="D156" i="12"/>
  <c r="C156" i="12"/>
  <c r="E155" i="12"/>
  <c r="E154" i="12"/>
  <c r="E153" i="12"/>
  <c r="E152" i="12"/>
  <c r="E151" i="12"/>
  <c r="D150" i="12"/>
  <c r="C150" i="12"/>
  <c r="E149" i="12"/>
  <c r="E148" i="12"/>
  <c r="E147" i="12"/>
  <c r="C147" i="12"/>
  <c r="E146" i="12"/>
  <c r="C146" i="12"/>
  <c r="E145" i="12"/>
  <c r="C145" i="12"/>
  <c r="C144" i="12"/>
  <c r="E144" i="12" s="1"/>
  <c r="E140" i="12"/>
  <c r="E139" i="12"/>
  <c r="E138" i="12"/>
  <c r="E137" i="12"/>
  <c r="E136" i="12"/>
  <c r="E135" i="12"/>
  <c r="C134" i="12"/>
  <c r="E134" i="12" s="1"/>
  <c r="E133" i="12"/>
  <c r="C132" i="12"/>
  <c r="E132" i="12" s="1"/>
  <c r="E131" i="12"/>
  <c r="C130" i="12"/>
  <c r="E130" i="12" s="1"/>
  <c r="C129" i="12"/>
  <c r="E129" i="12" s="1"/>
  <c r="C128" i="12"/>
  <c r="E128" i="12" s="1"/>
  <c r="E127" i="12"/>
  <c r="E126" i="12"/>
  <c r="E125" i="12"/>
  <c r="E124" i="12"/>
  <c r="E123" i="12"/>
  <c r="C122" i="12"/>
  <c r="D121" i="12"/>
  <c r="C121" i="12"/>
  <c r="E121" i="12" s="1"/>
  <c r="C120" i="12"/>
  <c r="E120" i="12" s="1"/>
  <c r="C119" i="12"/>
  <c r="C112" i="12" s="1"/>
  <c r="C111" i="12" s="1"/>
  <c r="E118" i="12"/>
  <c r="E117" i="12"/>
  <c r="C116" i="12"/>
  <c r="E116" i="12" s="1"/>
  <c r="D115" i="12"/>
  <c r="C115" i="12"/>
  <c r="E114" i="12"/>
  <c r="E113" i="12"/>
  <c r="D112" i="12"/>
  <c r="E110" i="12"/>
  <c r="D109" i="12"/>
  <c r="C109" i="12"/>
  <c r="E108" i="12"/>
  <c r="D107" i="12"/>
  <c r="C107" i="12"/>
  <c r="E106" i="12"/>
  <c r="D105" i="12"/>
  <c r="C105" i="12"/>
  <c r="C104" i="12"/>
  <c r="E104" i="12" s="1"/>
  <c r="D103" i="12"/>
  <c r="C103" i="12"/>
  <c r="E102" i="12"/>
  <c r="D101" i="12"/>
  <c r="C101" i="12"/>
  <c r="E100" i="12"/>
  <c r="D99" i="12"/>
  <c r="C99" i="12"/>
  <c r="E98" i="12"/>
  <c r="D97" i="12"/>
  <c r="C97" i="12"/>
  <c r="C96" i="12"/>
  <c r="E96" i="12" s="1"/>
  <c r="D95" i="12"/>
  <c r="C95" i="12"/>
  <c r="C94" i="12"/>
  <c r="E94" i="12" s="1"/>
  <c r="D93" i="12"/>
  <c r="E92" i="12"/>
  <c r="D91" i="12"/>
  <c r="C91" i="12"/>
  <c r="C89" i="12"/>
  <c r="E89" i="12" s="1"/>
  <c r="D88" i="12"/>
  <c r="C88" i="12"/>
  <c r="C85" i="12" s="1"/>
  <c r="E87" i="12"/>
  <c r="D86" i="12"/>
  <c r="E86" i="12" s="1"/>
  <c r="C86" i="12"/>
  <c r="D81" i="12"/>
  <c r="C81" i="12"/>
  <c r="D79" i="12"/>
  <c r="C79" i="12"/>
  <c r="D75" i="12"/>
  <c r="C75" i="12"/>
  <c r="D73" i="12"/>
  <c r="C73" i="12"/>
  <c r="E72" i="12"/>
  <c r="D71" i="12"/>
  <c r="C71" i="12"/>
  <c r="D69" i="12"/>
  <c r="C69" i="12"/>
  <c r="E68" i="12"/>
  <c r="D67" i="12"/>
  <c r="C67" i="12"/>
  <c r="E64" i="12"/>
  <c r="D63" i="12"/>
  <c r="C63" i="12"/>
  <c r="E62" i="12"/>
  <c r="D61" i="12"/>
  <c r="C61" i="12"/>
  <c r="E59" i="12"/>
  <c r="D58" i="12"/>
  <c r="C58" i="12"/>
  <c r="E58" i="12" s="1"/>
  <c r="D57" i="12"/>
  <c r="C57" i="12"/>
  <c r="C56" i="12"/>
  <c r="C55" i="12"/>
  <c r="D54" i="12"/>
  <c r="E53" i="12"/>
  <c r="C53" i="12"/>
  <c r="E52" i="12"/>
  <c r="C52" i="12"/>
  <c r="D51" i="12"/>
  <c r="D50" i="12" s="1"/>
  <c r="D48" i="12"/>
  <c r="C48" i="12"/>
  <c r="E47" i="12"/>
  <c r="D46" i="12"/>
  <c r="C46" i="12"/>
  <c r="E45" i="12"/>
  <c r="D44" i="12"/>
  <c r="C44" i="12"/>
  <c r="C43" i="12" s="1"/>
  <c r="C42" i="12" s="1"/>
  <c r="E41" i="12"/>
  <c r="D40" i="12"/>
  <c r="C40" i="12"/>
  <c r="C39" i="12" s="1"/>
  <c r="E38" i="12"/>
  <c r="D37" i="12"/>
  <c r="C37" i="12"/>
  <c r="E36" i="12"/>
  <c r="D35" i="12"/>
  <c r="C35" i="12"/>
  <c r="E33" i="12"/>
  <c r="D32" i="12"/>
  <c r="C32" i="12"/>
  <c r="E30" i="12"/>
  <c r="D29" i="12"/>
  <c r="C29" i="12"/>
  <c r="E28" i="12"/>
  <c r="D27" i="12"/>
  <c r="C27" i="12"/>
  <c r="C26" i="12"/>
  <c r="E26" i="12" s="1"/>
  <c r="D25" i="12"/>
  <c r="E25" i="12" s="1"/>
  <c r="C25" i="12"/>
  <c r="E24" i="12"/>
  <c r="D23" i="12"/>
  <c r="C23" i="12"/>
  <c r="C22" i="12" s="1"/>
  <c r="C21" i="12" s="1"/>
  <c r="C19" i="12"/>
  <c r="E19" i="12" s="1"/>
  <c r="C18" i="12"/>
  <c r="E18" i="12" s="1"/>
  <c r="C17" i="12"/>
  <c r="E17" i="12" s="1"/>
  <c r="D16" i="12"/>
  <c r="D15" i="12" s="1"/>
  <c r="E13" i="12"/>
  <c r="C12" i="12"/>
  <c r="E12" i="12" s="1"/>
  <c r="E11" i="12"/>
  <c r="C10" i="12"/>
  <c r="E10" i="12" s="1"/>
  <c r="D9" i="12"/>
  <c r="E9" i="12" s="1"/>
  <c r="C9" i="12"/>
  <c r="D8" i="12"/>
  <c r="E8" i="12" s="1"/>
  <c r="C8" i="12"/>
  <c r="E167" i="12" l="1"/>
  <c r="D85" i="12"/>
  <c r="C66" i="12"/>
  <c r="C65" i="12" s="1"/>
  <c r="E163" i="12"/>
  <c r="E150" i="12"/>
  <c r="E107" i="12"/>
  <c r="C34" i="12"/>
  <c r="C31" i="12" s="1"/>
  <c r="D34" i="12"/>
  <c r="E40" i="12"/>
  <c r="E44" i="12"/>
  <c r="C60" i="12"/>
  <c r="E63" i="12"/>
  <c r="E67" i="12"/>
  <c r="E97" i="12"/>
  <c r="E101" i="12"/>
  <c r="E103" i="12"/>
  <c r="E115" i="12"/>
  <c r="E172" i="12"/>
  <c r="E179" i="12"/>
  <c r="E85" i="12"/>
  <c r="C16" i="12"/>
  <c r="C15" i="12" s="1"/>
  <c r="E15" i="12" s="1"/>
  <c r="D22" i="12"/>
  <c r="E23" i="12"/>
  <c r="E27" i="12"/>
  <c r="E29" i="12"/>
  <c r="E32" i="12"/>
  <c r="E37" i="12"/>
  <c r="E46" i="12"/>
  <c r="C54" i="12"/>
  <c r="C51" i="12" s="1"/>
  <c r="C50" i="12" s="1"/>
  <c r="E57" i="12"/>
  <c r="E61" i="12"/>
  <c r="E71" i="12"/>
  <c r="E88" i="12"/>
  <c r="D90" i="12"/>
  <c r="E91" i="12"/>
  <c r="E95" i="12"/>
  <c r="E99" i="12"/>
  <c r="E105" i="12"/>
  <c r="E109" i="12"/>
  <c r="E112" i="12"/>
  <c r="D143" i="12"/>
  <c r="E156" i="12"/>
  <c r="E165" i="12"/>
  <c r="D169" i="12"/>
  <c r="E169" i="12" s="1"/>
  <c r="E170" i="12"/>
  <c r="E174" i="12"/>
  <c r="E175" i="12"/>
  <c r="E181" i="12"/>
  <c r="E183" i="12"/>
  <c r="E191" i="12"/>
  <c r="E192" i="12"/>
  <c r="E193" i="12"/>
  <c r="E51" i="12"/>
  <c r="E35" i="12"/>
  <c r="C93" i="12"/>
  <c r="C90" i="12" s="1"/>
  <c r="D111" i="12"/>
  <c r="E111" i="12" s="1"/>
  <c r="D142" i="12"/>
  <c r="E184" i="12"/>
  <c r="D31" i="12"/>
  <c r="D39" i="12"/>
  <c r="E39" i="12" s="1"/>
  <c r="D43" i="12"/>
  <c r="D60" i="12"/>
  <c r="E60" i="12" s="1"/>
  <c r="D66" i="12"/>
  <c r="C159" i="12"/>
  <c r="C143" i="12" s="1"/>
  <c r="C142" i="12" s="1"/>
  <c r="C141" i="12" s="1"/>
  <c r="E34" i="12" l="1"/>
  <c r="E50" i="12"/>
  <c r="C7" i="12"/>
  <c r="E93" i="12"/>
  <c r="E22" i="12"/>
  <c r="D21" i="12"/>
  <c r="E21" i="12" s="1"/>
  <c r="E16" i="12"/>
  <c r="E66" i="12"/>
  <c r="D65" i="12"/>
  <c r="E65" i="12" s="1"/>
  <c r="E43" i="12"/>
  <c r="D42" i="12"/>
  <c r="E42" i="12" s="1"/>
  <c r="E31" i="12"/>
  <c r="E142" i="12"/>
  <c r="D141" i="12"/>
  <c r="C84" i="12"/>
  <c r="C83" i="12" s="1"/>
  <c r="C199" i="12" s="1"/>
  <c r="E159" i="12"/>
  <c r="E143" i="12"/>
  <c r="E90" i="12"/>
  <c r="C198" i="12"/>
  <c r="C197" i="12" l="1"/>
  <c r="D7" i="12"/>
  <c r="D198" i="12" s="1"/>
  <c r="D84" i="12"/>
  <c r="E141" i="12"/>
  <c r="E7" i="12" l="1"/>
  <c r="E198" i="12" s="1"/>
  <c r="E84" i="12"/>
  <c r="D83" i="12"/>
  <c r="E83" i="12" l="1"/>
  <c r="E199" i="12" s="1"/>
  <c r="D199" i="12"/>
  <c r="D197" i="12"/>
  <c r="E197" i="12" s="1"/>
  <c r="D9" i="7" l="1"/>
  <c r="I45" i="6"/>
  <c r="I44" i="6"/>
  <c r="I21" i="6"/>
  <c r="H43" i="6"/>
  <c r="H42" i="6"/>
  <c r="H39" i="6"/>
  <c r="H33" i="6"/>
  <c r="H32" i="6" s="1"/>
  <c r="H27" i="6"/>
  <c r="H20" i="6"/>
  <c r="H14" i="6"/>
  <c r="I777" i="5"/>
  <c r="I703" i="5"/>
  <c r="H985" i="5"/>
  <c r="H984" i="5"/>
  <c r="H967" i="5"/>
  <c r="H960" i="5"/>
  <c r="H959" i="5"/>
  <c r="H952" i="5"/>
  <c r="H951" i="5" s="1"/>
  <c r="H950" i="5" s="1"/>
  <c r="H949" i="5" s="1"/>
  <c r="H948" i="5" s="1"/>
  <c r="H947" i="5" s="1"/>
  <c r="H944" i="5"/>
  <c r="H943" i="5" s="1"/>
  <c r="H942" i="5" s="1"/>
  <c r="H933" i="5"/>
  <c r="H932" i="5" s="1"/>
  <c r="H931" i="5" s="1"/>
  <c r="H930" i="5" s="1"/>
  <c r="H926" i="5"/>
  <c r="H925" i="5" s="1"/>
  <c r="H924" i="5" s="1"/>
  <c r="H921" i="5"/>
  <c r="H920" i="5"/>
  <c r="H919" i="5" s="1"/>
  <c r="H918" i="5" s="1"/>
  <c r="H917" i="5" s="1"/>
  <c r="H916" i="5" s="1"/>
  <c r="H914" i="5"/>
  <c r="H915" i="5" s="1"/>
  <c r="H908" i="5"/>
  <c r="H907" i="5" s="1"/>
  <c r="H904" i="5"/>
  <c r="H903" i="5" s="1"/>
  <c r="H899" i="5"/>
  <c r="H894" i="5"/>
  <c r="H895" i="5" s="1"/>
  <c r="H887" i="5"/>
  <c r="H875" i="5"/>
  <c r="H872" i="5"/>
  <c r="H871" i="5"/>
  <c r="H870" i="5"/>
  <c r="H867" i="5"/>
  <c r="H863" i="5"/>
  <c r="H864" i="5" s="1"/>
  <c r="H859" i="5"/>
  <c r="H848" i="5"/>
  <c r="H847" i="5" s="1"/>
  <c r="H846" i="5" s="1"/>
  <c r="H845" i="5" s="1"/>
  <c r="H844" i="5" s="1"/>
  <c r="H843" i="5" s="1"/>
  <c r="H784" i="5"/>
  <c r="H776" i="5"/>
  <c r="H775" i="5" s="1"/>
  <c r="H774" i="5" s="1"/>
  <c r="H773" i="5" s="1"/>
  <c r="H769" i="5"/>
  <c r="H770" i="5" s="1"/>
  <c r="H752" i="5"/>
  <c r="H751" i="5"/>
  <c r="H750" i="5" s="1"/>
  <c r="H747" i="5"/>
  <c r="H740" i="5"/>
  <c r="H739" i="5" s="1"/>
  <c r="H736" i="5"/>
  <c r="H735" i="5" s="1"/>
  <c r="H734" i="5" s="1"/>
  <c r="H732" i="5"/>
  <c r="H722" i="5"/>
  <c r="H718" i="5"/>
  <c r="H711" i="5"/>
  <c r="H704" i="5"/>
  <c r="H702" i="5"/>
  <c r="H701" i="5" s="1"/>
  <c r="H700" i="5"/>
  <c r="H697" i="5"/>
  <c r="H691" i="5"/>
  <c r="H690" i="5" s="1"/>
  <c r="H689" i="5" s="1"/>
  <c r="H688" i="5" s="1"/>
  <c r="H686" i="5"/>
  <c r="H685" i="5" s="1"/>
  <c r="H684" i="5" s="1"/>
  <c r="H683" i="5" s="1"/>
  <c r="H681" i="5"/>
  <c r="H680" i="5" s="1"/>
  <c r="H672" i="5"/>
  <c r="H673" i="5" s="1"/>
  <c r="H665" i="5"/>
  <c r="H651" i="5"/>
  <c r="H650" i="5" s="1"/>
  <c r="H649" i="5" s="1"/>
  <c r="H648" i="5" s="1"/>
  <c r="H647" i="5" s="1"/>
  <c r="H644" i="5"/>
  <c r="H645" i="5" s="1"/>
  <c r="H637" i="5"/>
  <c r="H627" i="5"/>
  <c r="H626" i="5" s="1"/>
  <c r="H625" i="5" s="1"/>
  <c r="H623" i="5"/>
  <c r="H624" i="5" s="1"/>
  <c r="H619" i="5"/>
  <c r="H612" i="5"/>
  <c r="H613" i="5" s="1"/>
  <c r="H600" i="5"/>
  <c r="H581" i="5"/>
  <c r="H580" i="5" s="1"/>
  <c r="H577" i="5"/>
  <c r="H578" i="5" s="1"/>
  <c r="H570" i="5"/>
  <c r="H569" i="5" s="1"/>
  <c r="H568" i="5"/>
  <c r="H566" i="5"/>
  <c r="H565" i="5" s="1"/>
  <c r="H563" i="5"/>
  <c r="H564" i="5" s="1"/>
  <c r="H560" i="5"/>
  <c r="H561" i="5" s="1"/>
  <c r="H554" i="5"/>
  <c r="H553" i="5" s="1"/>
  <c r="H552" i="5" s="1"/>
  <c r="H550" i="5"/>
  <c r="H549" i="5" s="1"/>
  <c r="H547" i="5"/>
  <c r="H548" i="5" s="1"/>
  <c r="H544" i="5"/>
  <c r="H543" i="5" s="1"/>
  <c r="H538" i="5"/>
  <c r="H537" i="5" s="1"/>
  <c r="H536" i="5" s="1"/>
  <c r="H539" i="5" s="1"/>
  <c r="H534" i="5"/>
  <c r="H533" i="5" s="1"/>
  <c r="H532" i="5" s="1"/>
  <c r="H530" i="5"/>
  <c r="H529" i="5" s="1"/>
  <c r="H527" i="5"/>
  <c r="H528" i="5" s="1"/>
  <c r="H524" i="5"/>
  <c r="H523" i="5" s="1"/>
  <c r="H516" i="5"/>
  <c r="H509" i="5"/>
  <c r="H508" i="5" s="1"/>
  <c r="H507" i="5" s="1"/>
  <c r="H506" i="5" s="1"/>
  <c r="H502" i="5"/>
  <c r="H503" i="5" s="1"/>
  <c r="H500" i="5"/>
  <c r="H499" i="5"/>
  <c r="H498" i="5"/>
  <c r="H485" i="5"/>
  <c r="H484" i="5" s="1"/>
  <c r="H483" i="5" s="1"/>
  <c r="H481" i="5"/>
  <c r="H480" i="5" s="1"/>
  <c r="H479" i="5" s="1"/>
  <c r="H474" i="5"/>
  <c r="H475" i="5" s="1"/>
  <c r="H470" i="5"/>
  <c r="H466" i="5"/>
  <c r="H467" i="5" s="1"/>
  <c r="H465" i="5"/>
  <c r="H464" i="5" s="1"/>
  <c r="H462" i="5"/>
  <c r="H463" i="5" s="1"/>
  <c r="H455" i="5"/>
  <c r="H451" i="5"/>
  <c r="H452" i="5" s="1"/>
  <c r="H428" i="5"/>
  <c r="H416" i="5"/>
  <c r="H415" i="5" s="1"/>
  <c r="H393" i="5"/>
  <c r="H392" i="5" s="1"/>
  <c r="H391" i="5" s="1"/>
  <c r="H386" i="5"/>
  <c r="H385" i="5" s="1"/>
  <c r="H384" i="5" s="1"/>
  <c r="H383" i="5" s="1"/>
  <c r="H382" i="5" s="1"/>
  <c r="H381" i="5" s="1"/>
  <c r="H387" i="5" s="1"/>
  <c r="H379" i="5"/>
  <c r="H380" i="5" s="1"/>
  <c r="H372" i="5"/>
  <c r="H371" i="5" s="1"/>
  <c r="H365" i="5"/>
  <c r="H364" i="5" s="1"/>
  <c r="H363" i="5" s="1"/>
  <c r="H360" i="5"/>
  <c r="H359" i="5" s="1"/>
  <c r="H358" i="5" s="1"/>
  <c r="H353" i="5"/>
  <c r="H352" i="5" s="1"/>
  <c r="H351" i="5" s="1"/>
  <c r="H350" i="5" s="1"/>
  <c r="H339" i="5"/>
  <c r="H338" i="5" s="1"/>
  <c r="H332" i="5"/>
  <c r="H331" i="5" s="1"/>
  <c r="H311" i="5"/>
  <c r="H304" i="5"/>
  <c r="H303" i="5" s="1"/>
  <c r="H302" i="5" s="1"/>
  <c r="H297" i="5"/>
  <c r="H296" i="5" s="1"/>
  <c r="H295" i="5" s="1"/>
  <c r="H294" i="5" s="1"/>
  <c r="H292" i="5"/>
  <c r="H291" i="5" s="1"/>
  <c r="H290" i="5" s="1"/>
  <c r="H288" i="5"/>
  <c r="H287" i="5" s="1"/>
  <c r="H283" i="5"/>
  <c r="H284" i="5" s="1"/>
  <c r="H279" i="5"/>
  <c r="H278" i="5" s="1"/>
  <c r="H276" i="5"/>
  <c r="H275" i="5"/>
  <c r="H274" i="5"/>
  <c r="H268" i="5"/>
  <c r="H267" i="5" s="1"/>
  <c r="H261" i="5"/>
  <c r="H257" i="5"/>
  <c r="H253" i="5"/>
  <c r="H252" i="5" s="1"/>
  <c r="H251" i="5" s="1"/>
  <c r="H249" i="5"/>
  <c r="H243" i="5"/>
  <c r="H242" i="5" s="1"/>
  <c r="H239" i="5"/>
  <c r="H240" i="5" s="1"/>
  <c r="H238" i="5"/>
  <c r="H235" i="5"/>
  <c r="H228" i="5"/>
  <c r="H227" i="5" s="1"/>
  <c r="H226" i="5" s="1"/>
  <c r="H224" i="5"/>
  <c r="H223" i="5" s="1"/>
  <c r="H195" i="5"/>
  <c r="H171" i="5"/>
  <c r="H168" i="5"/>
  <c r="H167" i="5"/>
  <c r="H163" i="5"/>
  <c r="H164" i="5" s="1"/>
  <c r="H158" i="5"/>
  <c r="H159" i="5" s="1"/>
  <c r="H153" i="5"/>
  <c r="H145" i="5"/>
  <c r="H144" i="5" s="1"/>
  <c r="H143" i="5" s="1"/>
  <c r="H142" i="5" s="1"/>
  <c r="H141" i="5" s="1"/>
  <c r="H139" i="5"/>
  <c r="H138" i="5" s="1"/>
  <c r="H132" i="5"/>
  <c r="H131" i="5" s="1"/>
  <c r="H122" i="5"/>
  <c r="H123" i="5" s="1"/>
  <c r="H120" i="5"/>
  <c r="H119" i="5"/>
  <c r="H118" i="5"/>
  <c r="H111" i="5"/>
  <c r="H107" i="5"/>
  <c r="H100" i="5"/>
  <c r="H99" i="5"/>
  <c r="H98" i="5"/>
  <c r="H92" i="5"/>
  <c r="H91" i="5" s="1"/>
  <c r="H78" i="5"/>
  <c r="H70" i="5"/>
  <c r="H62" i="5"/>
  <c r="H55" i="5"/>
  <c r="H54" i="5" s="1"/>
  <c r="H53" i="5" s="1"/>
  <c r="H51" i="5"/>
  <c r="H50" i="5" s="1"/>
  <c r="H48" i="5"/>
  <c r="H49" i="5" s="1"/>
  <c r="H47" i="5"/>
  <c r="H46" i="5" s="1"/>
  <c r="H37" i="5"/>
  <c r="H38" i="5" s="1"/>
  <c r="H28" i="5"/>
  <c r="H29" i="5" s="1"/>
  <c r="H27" i="5"/>
  <c r="H25" i="5"/>
  <c r="H26" i="5" s="1"/>
  <c r="H23" i="5"/>
  <c r="H22" i="5"/>
  <c r="H21" i="5" s="1"/>
  <c r="H15" i="5"/>
  <c r="H14" i="5" s="1"/>
  <c r="H13" i="5" s="1"/>
  <c r="I996" i="5"/>
  <c r="I15" i="5"/>
  <c r="F17" i="2"/>
  <c r="E16" i="2"/>
  <c r="H106" i="3"/>
  <c r="G1117" i="3"/>
  <c r="G1116" i="3" s="1"/>
  <c r="G1115" i="3" s="1"/>
  <c r="G1114" i="3" s="1"/>
  <c r="G1113" i="3" s="1"/>
  <c r="G1112" i="3"/>
  <c r="G1111" i="3" s="1"/>
  <c r="G1109" i="3"/>
  <c r="G1108" i="3" s="1"/>
  <c r="G1106" i="3"/>
  <c r="G1104" i="3"/>
  <c r="G1102" i="3"/>
  <c r="G1095" i="3"/>
  <c r="G1094" i="3" s="1"/>
  <c r="G1093" i="3"/>
  <c r="G1092" i="3" s="1"/>
  <c r="G1088" i="3"/>
  <c r="G1085" i="3"/>
  <c r="G1084" i="3" s="1"/>
  <c r="G1082" i="3"/>
  <c r="G1081" i="3" s="1"/>
  <c r="G1080" i="3"/>
  <c r="G1078" i="3"/>
  <c r="G1077" i="3" s="1"/>
  <c r="G1073" i="3"/>
  <c r="G1072" i="3" s="1"/>
  <c r="G1071" i="3" s="1"/>
  <c r="G1070" i="3"/>
  <c r="G1069" i="3" s="1"/>
  <c r="G1067" i="3"/>
  <c r="G1066" i="3" s="1"/>
  <c r="G1065" i="3" s="1"/>
  <c r="G1061" i="3"/>
  <c r="G1060" i="3" s="1"/>
  <c r="G1056" i="3"/>
  <c r="G1055" i="3"/>
  <c r="G1054" i="3" s="1"/>
  <c r="G1053" i="3" s="1"/>
  <c r="G1052" i="3"/>
  <c r="G1051" i="3" s="1"/>
  <c r="G1048" i="3"/>
  <c r="G1044" i="3"/>
  <c r="G1043" i="3" s="1"/>
  <c r="G1042" i="3"/>
  <c r="G1041" i="3"/>
  <c r="G1040" i="3" s="1"/>
  <c r="G1039" i="3"/>
  <c r="G1037" i="3"/>
  <c r="G1036" i="3" s="1"/>
  <c r="G1035" i="3" s="1"/>
  <c r="G1034" i="3"/>
  <c r="G1033" i="3"/>
  <c r="G1032" i="3" s="1"/>
  <c r="G1031" i="3"/>
  <c r="G1030" i="3"/>
  <c r="G1029" i="3" s="1"/>
  <c r="G1028" i="3"/>
  <c r="G1027" i="3"/>
  <c r="G1026" i="3" s="1"/>
  <c r="G1024" i="3"/>
  <c r="G1021" i="3"/>
  <c r="G1020" i="3" s="1"/>
  <c r="G1019" i="3" s="1"/>
  <c r="G1009" i="3"/>
  <c r="G1008" i="3" s="1"/>
  <c r="G1007" i="3"/>
  <c r="G1006" i="3" s="1"/>
  <c r="G991" i="3"/>
  <c r="G990" i="3" s="1"/>
  <c r="G989" i="3" s="1"/>
  <c r="G987" i="3"/>
  <c r="G981" i="3"/>
  <c r="G980" i="3" s="1"/>
  <c r="G979" i="3"/>
  <c r="G978" i="3" s="1"/>
  <c r="G974" i="3"/>
  <c r="G973" i="3"/>
  <c r="G972" i="3" s="1"/>
  <c r="G967" i="3"/>
  <c r="G966" i="3" s="1"/>
  <c r="G965" i="3" s="1"/>
  <c r="G960" i="3"/>
  <c r="G955" i="3"/>
  <c r="G954" i="3" s="1"/>
  <c r="G949" i="3"/>
  <c r="G946" i="3"/>
  <c r="G945" i="3" s="1"/>
  <c r="G943" i="3"/>
  <c r="G942" i="3" s="1"/>
  <c r="G941" i="3"/>
  <c r="G940" i="3" s="1"/>
  <c r="G939" i="3"/>
  <c r="G938" i="3" s="1"/>
  <c r="G937" i="3"/>
  <c r="G933" i="3"/>
  <c r="G932" i="3" s="1"/>
  <c r="G931" i="3" s="1"/>
  <c r="G928" i="3"/>
  <c r="G927" i="3" s="1"/>
  <c r="G926" i="3" s="1"/>
  <c r="G925" i="3"/>
  <c r="G924" i="3" s="1"/>
  <c r="G923" i="3" s="1"/>
  <c r="G922" i="3"/>
  <c r="G920" i="3"/>
  <c r="G914" i="3"/>
  <c r="G913" i="3" s="1"/>
  <c r="G909" i="3"/>
  <c r="G904" i="3"/>
  <c r="G903" i="3" s="1"/>
  <c r="G902" i="3" s="1"/>
  <c r="G901" i="3"/>
  <c r="G900" i="3" s="1"/>
  <c r="G893" i="3"/>
  <c r="G892" i="3" s="1"/>
  <c r="G891" i="3" s="1"/>
  <c r="G889" i="3"/>
  <c r="G885" i="3"/>
  <c r="G884" i="3" s="1"/>
  <c r="G882" i="3"/>
  <c r="H633" i="5" s="1"/>
  <c r="G878" i="3"/>
  <c r="G877" i="3" s="1"/>
  <c r="G874" i="3"/>
  <c r="G872" i="3"/>
  <c r="G868" i="3"/>
  <c r="G867" i="3" s="1"/>
  <c r="G866" i="3" s="1"/>
  <c r="G865" i="3"/>
  <c r="G864" i="3" s="1"/>
  <c r="G863" i="3"/>
  <c r="G862" i="3" s="1"/>
  <c r="G861" i="3"/>
  <c r="G860" i="3" s="1"/>
  <c r="G854" i="3"/>
  <c r="G853" i="3" s="1"/>
  <c r="G851" i="3"/>
  <c r="G850" i="3" s="1"/>
  <c r="G849" i="3" s="1"/>
  <c r="G848" i="3"/>
  <c r="G847" i="3" s="1"/>
  <c r="G846" i="3"/>
  <c r="G845" i="3" s="1"/>
  <c r="G844" i="3"/>
  <c r="G843" i="3" s="1"/>
  <c r="G840" i="3"/>
  <c r="G838" i="3"/>
  <c r="G837" i="3" s="1"/>
  <c r="G835" i="3"/>
  <c r="G834" i="3" s="1"/>
  <c r="G833" i="3" s="1"/>
  <c r="G830" i="3"/>
  <c r="G829" i="3" s="1"/>
  <c r="G827" i="3"/>
  <c r="G826" i="3" s="1"/>
  <c r="G824" i="3"/>
  <c r="G822" i="3"/>
  <c r="G821" i="3" s="1"/>
  <c r="G816" i="3"/>
  <c r="G815" i="3" s="1"/>
  <c r="G814" i="3" s="1"/>
  <c r="G813" i="3" s="1"/>
  <c r="G812" i="3" s="1"/>
  <c r="G811" i="3"/>
  <c r="G810" i="3" s="1"/>
  <c r="G809" i="3" s="1"/>
  <c r="G808" i="3" s="1"/>
  <c r="G807" i="3"/>
  <c r="G806" i="3" s="1"/>
  <c r="G804" i="3"/>
  <c r="G802" i="3"/>
  <c r="G798" i="3"/>
  <c r="G795" i="3"/>
  <c r="G794" i="3" s="1"/>
  <c r="G793" i="3" s="1"/>
  <c r="G788" i="3"/>
  <c r="G785" i="3"/>
  <c r="G784" i="3" s="1"/>
  <c r="G780" i="3"/>
  <c r="G775" i="3"/>
  <c r="G774" i="3" s="1"/>
  <c r="G773" i="3" s="1"/>
  <c r="G772" i="3"/>
  <c r="G769" i="3"/>
  <c r="G765" i="3"/>
  <c r="G764" i="3" s="1"/>
  <c r="G761" i="3"/>
  <c r="G760" i="3" s="1"/>
  <c r="G759" i="3"/>
  <c r="G758" i="3" s="1"/>
  <c r="G756" i="3"/>
  <c r="G752" i="3"/>
  <c r="G751" i="3" s="1"/>
  <c r="G750" i="3" s="1"/>
  <c r="G749" i="3"/>
  <c r="G748" i="3" s="1"/>
  <c r="G747" i="3" s="1"/>
  <c r="G746" i="3"/>
  <c r="G744" i="3"/>
  <c r="G742" i="3"/>
  <c r="G737" i="3"/>
  <c r="G733" i="3"/>
  <c r="G732" i="3" s="1"/>
  <c r="G729" i="3"/>
  <c r="G728" i="3"/>
  <c r="G725" i="3"/>
  <c r="G724" i="3" s="1"/>
  <c r="G722" i="3"/>
  <c r="G721" i="3" s="1"/>
  <c r="G719" i="3"/>
  <c r="G718" i="3" s="1"/>
  <c r="G717" i="3" s="1"/>
  <c r="G715" i="3"/>
  <c r="G714" i="3" s="1"/>
  <c r="G712" i="3"/>
  <c r="G709" i="3"/>
  <c r="G708" i="3"/>
  <c r="G707" i="3" s="1"/>
  <c r="G703" i="3"/>
  <c r="G702" i="3" s="1"/>
  <c r="G701" i="3" s="1"/>
  <c r="G700" i="3" s="1"/>
  <c r="G699" i="3" s="1"/>
  <c r="G698" i="3"/>
  <c r="G697" i="3"/>
  <c r="G693" i="3"/>
  <c r="G692" i="3" s="1"/>
  <c r="G689" i="3"/>
  <c r="G685" i="3"/>
  <c r="G684" i="3" s="1"/>
  <c r="G681" i="3"/>
  <c r="G680" i="3" s="1"/>
  <c r="G677" i="3"/>
  <c r="G673" i="3"/>
  <c r="G672" i="3" s="1"/>
  <c r="G669" i="3"/>
  <c r="H325" i="5" s="1"/>
  <c r="G665" i="3"/>
  <c r="H318" i="5" s="1"/>
  <c r="G661" i="3"/>
  <c r="G657" i="3"/>
  <c r="G654" i="3"/>
  <c r="G653" i="3" s="1"/>
  <c r="G652" i="3" s="1"/>
  <c r="G650" i="3"/>
  <c r="G649" i="3" s="1"/>
  <c r="G648" i="3" s="1"/>
  <c r="G647" i="3"/>
  <c r="G646" i="3" s="1"/>
  <c r="G644" i="3"/>
  <c r="G643" i="3" s="1"/>
  <c r="G641" i="3"/>
  <c r="G640" i="3"/>
  <c r="G639" i="3" s="1"/>
  <c r="G637" i="3"/>
  <c r="H215" i="5" s="1"/>
  <c r="G634" i="3"/>
  <c r="G633" i="3" s="1"/>
  <c r="G632" i="3" s="1"/>
  <c r="G631" i="3"/>
  <c r="G628" i="3"/>
  <c r="G627" i="3" s="1"/>
  <c r="G626" i="3" s="1"/>
  <c r="G625" i="3"/>
  <c r="H199" i="5" s="1"/>
  <c r="G622" i="3"/>
  <c r="G621" i="3" s="1"/>
  <c r="G620" i="3" s="1"/>
  <c r="G618" i="3"/>
  <c r="G617" i="3"/>
  <c r="G616" i="3" s="1"/>
  <c r="G612" i="3"/>
  <c r="G611" i="3" s="1"/>
  <c r="G610" i="3" s="1"/>
  <c r="G609" i="3" s="1"/>
  <c r="G608" i="3" s="1"/>
  <c r="G607" i="3"/>
  <c r="G602" i="3"/>
  <c r="G601" i="3" s="1"/>
  <c r="G600" i="3" s="1"/>
  <c r="G599" i="3" s="1"/>
  <c r="G598" i="3"/>
  <c r="G597" i="3" s="1"/>
  <c r="G596" i="3" s="1"/>
  <c r="G595" i="3" s="1"/>
  <c r="G594" i="3"/>
  <c r="G593" i="3" s="1"/>
  <c r="G592" i="3" s="1"/>
  <c r="G591" i="3" s="1"/>
  <c r="G590" i="3"/>
  <c r="G589" i="3" s="1"/>
  <c r="G588" i="3" s="1"/>
  <c r="G587" i="3" s="1"/>
  <c r="G586" i="3"/>
  <c r="G585" i="3" s="1"/>
  <c r="G584" i="3" s="1"/>
  <c r="G583" i="3"/>
  <c r="G580" i="3"/>
  <c r="G579" i="3" s="1"/>
  <c r="G578" i="3" s="1"/>
  <c r="G576" i="3"/>
  <c r="G575" i="3" s="1"/>
  <c r="G574" i="3" s="1"/>
  <c r="G573" i="3"/>
  <c r="G572" i="3" s="1"/>
  <c r="G570" i="3"/>
  <c r="G569" i="3" s="1"/>
  <c r="G568" i="3" s="1"/>
  <c r="G566" i="3"/>
  <c r="G565" i="3" s="1"/>
  <c r="G564" i="3" s="1"/>
  <c r="G563" i="3"/>
  <c r="G562" i="3" s="1"/>
  <c r="G560" i="3"/>
  <c r="G559" i="3" s="1"/>
  <c r="G558" i="3" s="1"/>
  <c r="G557" i="3"/>
  <c r="G553" i="3"/>
  <c r="G552" i="3" s="1"/>
  <c r="G546" i="3"/>
  <c r="G545" i="3" s="1"/>
  <c r="G543" i="3"/>
  <c r="G542" i="3"/>
  <c r="G541" i="3" s="1"/>
  <c r="G538" i="3"/>
  <c r="G537" i="3" s="1"/>
  <c r="G536" i="3" s="1"/>
  <c r="G535" i="3"/>
  <c r="G533" i="3"/>
  <c r="G529" i="3"/>
  <c r="G527" i="3"/>
  <c r="G523" i="3"/>
  <c r="G522" i="3"/>
  <c r="G515" i="3"/>
  <c r="G514" i="3" s="1"/>
  <c r="G512" i="3"/>
  <c r="G511" i="3" s="1"/>
  <c r="G509" i="3"/>
  <c r="G507" i="3"/>
  <c r="G505" i="3"/>
  <c r="G504" i="3" s="1"/>
  <c r="G499" i="3"/>
  <c r="G495" i="3"/>
  <c r="G490" i="3"/>
  <c r="G489" i="3" s="1"/>
  <c r="G486" i="3"/>
  <c r="G485" i="3" s="1"/>
  <c r="G482" i="3"/>
  <c r="G481" i="3" s="1"/>
  <c r="G480" i="3" s="1"/>
  <c r="G479" i="3"/>
  <c r="G475" i="3"/>
  <c r="G474" i="3" s="1"/>
  <c r="G472" i="3"/>
  <c r="G471" i="3" s="1"/>
  <c r="G470" i="3" s="1"/>
  <c r="G467" i="3"/>
  <c r="G464" i="3"/>
  <c r="G463" i="3" s="1"/>
  <c r="G462" i="3" s="1"/>
  <c r="G461" i="3"/>
  <c r="G457" i="3"/>
  <c r="H725" i="5" s="1"/>
  <c r="G455" i="3"/>
  <c r="G452" i="3"/>
  <c r="G451" i="3" s="1"/>
  <c r="G448" i="3"/>
  <c r="G443" i="3"/>
  <c r="G432" i="3"/>
  <c r="G431" i="3" s="1"/>
  <c r="G430" i="3" s="1"/>
  <c r="G429" i="3" s="1"/>
  <c r="G428" i="3"/>
  <c r="H841" i="5" s="1"/>
  <c r="G424" i="3"/>
  <c r="G420" i="3"/>
  <c r="G419" i="3" s="1"/>
  <c r="G416" i="3"/>
  <c r="G415" i="3" s="1"/>
  <c r="G414" i="3" s="1"/>
  <c r="G413" i="3" s="1"/>
  <c r="G412" i="3"/>
  <c r="H813" i="5" s="1"/>
  <c r="H814" i="5" s="1"/>
  <c r="G411" i="3"/>
  <c r="G410" i="3" s="1"/>
  <c r="G409" i="3" s="1"/>
  <c r="G408" i="3"/>
  <c r="G407" i="3" s="1"/>
  <c r="G406" i="3" s="1"/>
  <c r="G405" i="3" s="1"/>
  <c r="G399" i="3"/>
  <c r="G396" i="3"/>
  <c r="G395" i="3" s="1"/>
  <c r="G394" i="3"/>
  <c r="G393" i="3" s="1"/>
  <c r="G391" i="3"/>
  <c r="G388" i="3"/>
  <c r="G387" i="3" s="1"/>
  <c r="G386" i="3"/>
  <c r="G385" i="3" s="1"/>
  <c r="G382" i="3"/>
  <c r="G381" i="3" s="1"/>
  <c r="G380" i="3"/>
  <c r="G377" i="3"/>
  <c r="G376" i="3"/>
  <c r="G374" i="3"/>
  <c r="G373" i="3" s="1"/>
  <c r="G368" i="3"/>
  <c r="G365" i="3"/>
  <c r="G362" i="3"/>
  <c r="G361" i="3" s="1"/>
  <c r="G360" i="3" s="1"/>
  <c r="G359" i="3"/>
  <c r="G357" i="3"/>
  <c r="G350" i="3"/>
  <c r="G349" i="3" s="1"/>
  <c r="G348" i="3" s="1"/>
  <c r="G345" i="3"/>
  <c r="G341" i="3"/>
  <c r="G333" i="3"/>
  <c r="G327" i="3"/>
  <c r="G326" i="3" s="1"/>
  <c r="G325" i="3"/>
  <c r="G319" i="3"/>
  <c r="G317" i="3"/>
  <c r="G316" i="3" s="1"/>
  <c r="G315" i="3"/>
  <c r="G314" i="3" s="1"/>
  <c r="G311" i="3"/>
  <c r="G305" i="3"/>
  <c r="G299" i="3"/>
  <c r="G295" i="3"/>
  <c r="G294" i="3" s="1"/>
  <c r="G288" i="3"/>
  <c r="G287" i="3" s="1"/>
  <c r="G286" i="3" s="1"/>
  <c r="G280" i="3"/>
  <c r="G277" i="3"/>
  <c r="G274" i="3"/>
  <c r="G273" i="3"/>
  <c r="G272" i="3"/>
  <c r="G271" i="3"/>
  <c r="G265" i="3"/>
  <c r="G258" i="3"/>
  <c r="G257" i="3" s="1"/>
  <c r="G256" i="3"/>
  <c r="G255" i="3" s="1"/>
  <c r="G251" i="3"/>
  <c r="G250" i="3" s="1"/>
  <c r="G249" i="3" s="1"/>
  <c r="G248" i="3" s="1"/>
  <c r="G247" i="3" s="1"/>
  <c r="G246" i="3"/>
  <c r="G241" i="3"/>
  <c r="G240" i="3"/>
  <c r="G239" i="3" s="1"/>
  <c r="G236" i="3"/>
  <c r="G235" i="3" s="1"/>
  <c r="G234" i="3" s="1"/>
  <c r="G233" i="3" s="1"/>
  <c r="G232" i="3"/>
  <c r="G227" i="3"/>
  <c r="G226" i="3"/>
  <c r="G224" i="3"/>
  <c r="G223" i="3"/>
  <c r="G222" i="3" s="1"/>
  <c r="G221" i="3"/>
  <c r="G220" i="3"/>
  <c r="G218" i="3"/>
  <c r="G217" i="3" s="1"/>
  <c r="G210" i="3"/>
  <c r="G209" i="3" s="1"/>
  <c r="G208" i="3" s="1"/>
  <c r="G207" i="3"/>
  <c r="G201" i="3"/>
  <c r="G198" i="3"/>
  <c r="G197" i="3" s="1"/>
  <c r="G195" i="3"/>
  <c r="G193" i="3"/>
  <c r="G189" i="3"/>
  <c r="G186" i="3"/>
  <c r="G185" i="3" s="1"/>
  <c r="G184" i="3"/>
  <c r="G180" i="3"/>
  <c r="G179" i="3" s="1"/>
  <c r="G178" i="3" s="1"/>
  <c r="G177" i="3"/>
  <c r="G176" i="3"/>
  <c r="G174" i="3"/>
  <c r="G173" i="3" s="1"/>
  <c r="G172" i="3"/>
  <c r="G170" i="3"/>
  <c r="G169" i="3" s="1"/>
  <c r="G167" i="3"/>
  <c r="G161" i="3"/>
  <c r="G160" i="3" s="1"/>
  <c r="G155" i="3"/>
  <c r="G154" i="3"/>
  <c r="G153" i="3"/>
  <c r="G152" i="3"/>
  <c r="G151" i="3" s="1"/>
  <c r="G147" i="3"/>
  <c r="G146" i="3" s="1"/>
  <c r="G145" i="3" s="1"/>
  <c r="G144" i="3"/>
  <c r="G143" i="3" s="1"/>
  <c r="G142" i="3" s="1"/>
  <c r="G141" i="3"/>
  <c r="G139" i="3"/>
  <c r="G135" i="3"/>
  <c r="G134" i="3" s="1"/>
  <c r="G133" i="3" s="1"/>
  <c r="G132" i="3"/>
  <c r="G131" i="3" s="1"/>
  <c r="G130" i="3" s="1"/>
  <c r="G129" i="3"/>
  <c r="G127" i="3"/>
  <c r="G125" i="3"/>
  <c r="G124" i="3" s="1"/>
  <c r="G121" i="3"/>
  <c r="G116" i="3"/>
  <c r="G115" i="3" s="1"/>
  <c r="G110" i="3"/>
  <c r="G109" i="3" s="1"/>
  <c r="G108" i="3" s="1"/>
  <c r="G107" i="3" s="1"/>
  <c r="G105" i="3"/>
  <c r="G104" i="3" s="1"/>
  <c r="G103" i="3"/>
  <c r="G102" i="3" s="1"/>
  <c r="G101" i="3"/>
  <c r="G100" i="3" s="1"/>
  <c r="G97" i="3"/>
  <c r="G96" i="3" s="1"/>
  <c r="G92" i="3"/>
  <c r="G91" i="3" s="1"/>
  <c r="G89" i="3"/>
  <c r="G88" i="3" s="1"/>
  <c r="G87" i="3"/>
  <c r="G84" i="3"/>
  <c r="G82" i="3"/>
  <c r="G81" i="3" s="1"/>
  <c r="G79" i="3"/>
  <c r="G77" i="3"/>
  <c r="G76" i="3" s="1"/>
  <c r="G74" i="3"/>
  <c r="G73" i="3" s="1"/>
  <c r="G72" i="3" s="1"/>
  <c r="G71" i="3"/>
  <c r="G70" i="3"/>
  <c r="G69" i="3" s="1"/>
  <c r="G67" i="3"/>
  <c r="G64" i="3"/>
  <c r="G63" i="3" s="1"/>
  <c r="G62" i="3" s="1"/>
  <c r="G61" i="3"/>
  <c r="G58" i="3"/>
  <c r="G57" i="3" s="1"/>
  <c r="G54" i="3"/>
  <c r="G53" i="3" s="1"/>
  <c r="G52" i="3"/>
  <c r="G46" i="3"/>
  <c r="G45" i="3" s="1"/>
  <c r="G44" i="3" s="1"/>
  <c r="G43" i="3"/>
  <c r="G42" i="3" s="1"/>
  <c r="G40" i="3"/>
  <c r="G39" i="3" s="1"/>
  <c r="G38" i="3"/>
  <c r="G37" i="3" s="1"/>
  <c r="G35" i="3"/>
  <c r="G34" i="3" s="1"/>
  <c r="G33" i="3"/>
  <c r="G32" i="3" s="1"/>
  <c r="G27" i="3"/>
  <c r="G19" i="3"/>
  <c r="G16" i="3"/>
  <c r="G15" i="3" s="1"/>
  <c r="G14" i="3"/>
  <c r="G13" i="3" s="1"/>
  <c r="H1119" i="3"/>
  <c r="I1233" i="4"/>
  <c r="I1227" i="4"/>
  <c r="I1204" i="4"/>
  <c r="I1201" i="4"/>
  <c r="I1182" i="4"/>
  <c r="I1181" i="4"/>
  <c r="I1171" i="4"/>
  <c r="I1155" i="4"/>
  <c r="I1138" i="4"/>
  <c r="I1135" i="4"/>
  <c r="I1128" i="4"/>
  <c r="I1117" i="4"/>
  <c r="I1113" i="4"/>
  <c r="I1104" i="4"/>
  <c r="I1088" i="4"/>
  <c r="I1080" i="4"/>
  <c r="I1076" i="4"/>
  <c r="I1068" i="4"/>
  <c r="I1055" i="4"/>
  <c r="I1052" i="4"/>
  <c r="I1050" i="4"/>
  <c r="I1047" i="4"/>
  <c r="I1044" i="4"/>
  <c r="I1038" i="4"/>
  <c r="I1033" i="4"/>
  <c r="I1032" i="4"/>
  <c r="I1018" i="4"/>
  <c r="I1015" i="4"/>
  <c r="I1006" i="4"/>
  <c r="I998" i="4"/>
  <c r="I992" i="4"/>
  <c r="I978" i="4"/>
  <c r="I974" i="4"/>
  <c r="I972" i="4"/>
  <c r="I950" i="4"/>
  <c r="I935" i="4"/>
  <c r="I899" i="4"/>
  <c r="I896" i="4"/>
  <c r="I886" i="4"/>
  <c r="I876" i="4"/>
  <c r="I868" i="4"/>
  <c r="I847" i="4"/>
  <c r="I841" i="4"/>
  <c r="I822" i="4"/>
  <c r="I814" i="4"/>
  <c r="I807" i="4"/>
  <c r="I804" i="4"/>
  <c r="I797" i="4"/>
  <c r="I788" i="4"/>
  <c r="I783" i="4"/>
  <c r="I739" i="4"/>
  <c r="I726" i="4"/>
  <c r="I722" i="4"/>
  <c r="I679" i="4"/>
  <c r="I662" i="4"/>
  <c r="I655" i="4"/>
  <c r="I642" i="4"/>
  <c r="I639" i="4"/>
  <c r="I614" i="4"/>
  <c r="I588" i="4"/>
  <c r="I585" i="4"/>
  <c r="I541" i="4"/>
  <c r="I510" i="4"/>
  <c r="I502" i="4"/>
  <c r="I491" i="4"/>
  <c r="I475" i="4"/>
  <c r="I470" i="4"/>
  <c r="I464" i="4"/>
  <c r="I451" i="4"/>
  <c r="I446" i="4"/>
  <c r="I442" i="4"/>
  <c r="I430" i="4"/>
  <c r="I426" i="4"/>
  <c r="I395" i="4"/>
  <c r="I390" i="4"/>
  <c r="I377" i="4"/>
  <c r="I354" i="4"/>
  <c r="I351" i="4"/>
  <c r="I338" i="4"/>
  <c r="I331" i="4"/>
  <c r="I317" i="4"/>
  <c r="I313" i="4"/>
  <c r="I305" i="4"/>
  <c r="I297" i="4"/>
  <c r="I287" i="4"/>
  <c r="I284" i="4"/>
  <c r="I281" i="4"/>
  <c r="I278" i="4"/>
  <c r="I275" i="4"/>
  <c r="I224" i="4"/>
  <c r="I203" i="4"/>
  <c r="I181" i="4"/>
  <c r="I164" i="4"/>
  <c r="I155" i="4"/>
  <c r="I143" i="4"/>
  <c r="I137" i="4"/>
  <c r="I134" i="4"/>
  <c r="I132" i="4"/>
  <c r="I117" i="4"/>
  <c r="I114" i="4"/>
  <c r="I110" i="4"/>
  <c r="I86" i="4"/>
  <c r="I81" i="4"/>
  <c r="I78" i="4"/>
  <c r="I32" i="4"/>
  <c r="I26" i="4"/>
  <c r="H1243" i="4"/>
  <c r="H1242" i="4" s="1"/>
  <c r="H1241" i="4"/>
  <c r="H1238" i="4"/>
  <c r="H1232" i="4"/>
  <c r="H1231" i="4" s="1"/>
  <c r="H1229" i="4"/>
  <c r="H1226" i="4"/>
  <c r="H1224" i="4"/>
  <c r="H1221" i="4"/>
  <c r="H1219" i="4"/>
  <c r="H1212" i="4"/>
  <c r="H1203" i="4"/>
  <c r="H1202" i="4" s="1"/>
  <c r="H1200" i="4"/>
  <c r="H1195" i="4"/>
  <c r="H1194" i="4" s="1"/>
  <c r="H1192" i="4"/>
  <c r="H1190" i="4"/>
  <c r="H1186" i="4"/>
  <c r="H1184" i="4"/>
  <c r="H1180" i="4"/>
  <c r="H1176" i="4"/>
  <c r="H1170" i="4"/>
  <c r="H1169" i="4" s="1"/>
  <c r="H1167" i="4"/>
  <c r="H1164" i="4"/>
  <c r="H1162" i="4"/>
  <c r="H1160" i="4"/>
  <c r="H1154" i="4"/>
  <c r="H1150" i="4"/>
  <c r="H1149" i="4" s="1"/>
  <c r="H1148" i="4" s="1"/>
  <c r="H1145" i="4"/>
  <c r="H1144" i="4" s="1"/>
  <c r="H1143" i="4" s="1"/>
  <c r="H1141" i="4"/>
  <c r="H1140" i="4" s="1"/>
  <c r="H1139" i="4" s="1"/>
  <c r="H1137" i="4"/>
  <c r="H1136" i="4" s="1"/>
  <c r="H1134" i="4"/>
  <c r="H1130" i="4"/>
  <c r="H1129" i="4" s="1"/>
  <c r="H1127" i="4"/>
  <c r="H1126" i="4"/>
  <c r="H1125" i="4"/>
  <c r="H1124" i="4"/>
  <c r="H1122" i="4"/>
  <c r="H1119" i="4"/>
  <c r="H1118" i="4" s="1"/>
  <c r="H1116" i="4"/>
  <c r="H1115" i="4"/>
  <c r="H1114" i="4"/>
  <c r="G458" i="3" s="1"/>
  <c r="H1112" i="4"/>
  <c r="H1110" i="4"/>
  <c r="H1107" i="4"/>
  <c r="H1106" i="4" s="1"/>
  <c r="H1103" i="4"/>
  <c r="H1102" i="4" s="1"/>
  <c r="H1101" i="4"/>
  <c r="H1099" i="4"/>
  <c r="H1098" i="4" s="1"/>
  <c r="H1097" i="4" s="1"/>
  <c r="H1096" i="4" s="1"/>
  <c r="H1095" i="4" s="1"/>
  <c r="H1093" i="4"/>
  <c r="H1087" i="4"/>
  <c r="H1086" i="4" s="1"/>
  <c r="H1083" i="4"/>
  <c r="H1082" i="4" s="1"/>
  <c r="H1081" i="4" s="1"/>
  <c r="H1079" i="4"/>
  <c r="H1078" i="4" s="1"/>
  <c r="H1077" i="4" s="1"/>
  <c r="H1075" i="4"/>
  <c r="H1071" i="4"/>
  <c r="H1070" i="4" s="1"/>
  <c r="H1069" i="4" s="1"/>
  <c r="H1067" i="4"/>
  <c r="H1063" i="4"/>
  <c r="H1062" i="4" s="1"/>
  <c r="H1061" i="4" s="1"/>
  <c r="H1060" i="4"/>
  <c r="H1054" i="4"/>
  <c r="H1053" i="4" s="1"/>
  <c r="H1051" i="4"/>
  <c r="H1049" i="4"/>
  <c r="H1046" i="4"/>
  <c r="H1045" i="4" s="1"/>
  <c r="H1043" i="4"/>
  <c r="H1041" i="4"/>
  <c r="H1040" i="4" s="1"/>
  <c r="H1037" i="4"/>
  <c r="H1035" i="4"/>
  <c r="H1031" i="4"/>
  <c r="H1029" i="4"/>
  <c r="H1028" i="4" s="1"/>
  <c r="H1023" i="4"/>
  <c r="H1022" i="4" s="1"/>
  <c r="H1020" i="4"/>
  <c r="H1019" i="4" s="1"/>
  <c r="H1017" i="4"/>
  <c r="H1016" i="4" s="1"/>
  <c r="H1014" i="4"/>
  <c r="H1012" i="4"/>
  <c r="H1005" i="4"/>
  <c r="H1003" i="4"/>
  <c r="H1001" i="4"/>
  <c r="H997" i="4"/>
  <c r="H996" i="4"/>
  <c r="H991" i="4"/>
  <c r="H990" i="4" s="1"/>
  <c r="H989" i="4" s="1"/>
  <c r="H988" i="4" s="1"/>
  <c r="H987" i="4" s="1"/>
  <c r="H985" i="4"/>
  <c r="H977" i="4"/>
  <c r="H976" i="4" s="1"/>
  <c r="H973" i="4"/>
  <c r="H971" i="4"/>
  <c r="H969" i="4"/>
  <c r="H967" i="4"/>
  <c r="H964" i="4"/>
  <c r="H963" i="4" s="1"/>
  <c r="H956" i="4"/>
  <c r="H954" i="4"/>
  <c r="H953" i="4" s="1"/>
  <c r="H949" i="4"/>
  <c r="H948" i="4" s="1"/>
  <c r="H946" i="4"/>
  <c r="H945" i="4" s="1"/>
  <c r="H943" i="4"/>
  <c r="H941" i="4"/>
  <c r="H939" i="4"/>
  <c r="H934" i="4"/>
  <c r="H933" i="4" s="1"/>
  <c r="H931" i="4"/>
  <c r="H930" i="4" s="1"/>
  <c r="H928" i="4"/>
  <c r="H927" i="4" s="1"/>
  <c r="H922" i="4"/>
  <c r="H921" i="4" s="1"/>
  <c r="H920" i="4" s="1"/>
  <c r="H919" i="4" s="1"/>
  <c r="H917" i="4"/>
  <c r="H916" i="4" s="1"/>
  <c r="H915" i="4" s="1"/>
  <c r="H913" i="4"/>
  <c r="H912" i="4" s="1"/>
  <c r="H909" i="4"/>
  <c r="H908" i="4" s="1"/>
  <c r="H905" i="4"/>
  <c r="H904" i="4" s="1"/>
  <c r="H902" i="4"/>
  <c r="H901" i="4" s="1"/>
  <c r="H898" i="4"/>
  <c r="H897" i="4"/>
  <c r="H895" i="4"/>
  <c r="H892" i="4"/>
  <c r="H891" i="4" s="1"/>
  <c r="H889" i="4"/>
  <c r="H888" i="4" s="1"/>
  <c r="H885" i="4"/>
  <c r="H884" i="4" s="1"/>
  <c r="H882" i="4"/>
  <c r="H881" i="4" s="1"/>
  <c r="H875" i="4"/>
  <c r="H874" i="4" s="1"/>
  <c r="H867" i="4"/>
  <c r="H866" i="4" s="1"/>
  <c r="H864" i="4"/>
  <c r="H863" i="4" s="1"/>
  <c r="H861" i="4"/>
  <c r="H859" i="4"/>
  <c r="H857" i="4"/>
  <c r="H853" i="4"/>
  <c r="H851" i="4"/>
  <c r="H846" i="4"/>
  <c r="H845" i="4" s="1"/>
  <c r="H843" i="4"/>
  <c r="H840" i="4"/>
  <c r="H838" i="4"/>
  <c r="H837" i="4" s="1"/>
  <c r="H832" i="4"/>
  <c r="H826" i="4"/>
  <c r="H825" i="4" s="1"/>
  <c r="H821" i="4"/>
  <c r="H817" i="4"/>
  <c r="H816" i="4" s="1"/>
  <c r="H815" i="4" s="1"/>
  <c r="H813" i="4"/>
  <c r="H812" i="4" s="1"/>
  <c r="H811" i="4"/>
  <c r="H809" i="4"/>
  <c r="H808" i="4" s="1"/>
  <c r="H806" i="4"/>
  <c r="H805" i="4" s="1"/>
  <c r="H803" i="4"/>
  <c r="H802" i="4" s="1"/>
  <c r="H799" i="4"/>
  <c r="H798" i="4" s="1"/>
  <c r="H796" i="4"/>
  <c r="H795" i="4" s="1"/>
  <c r="H793" i="4"/>
  <c r="H792" i="4" s="1"/>
  <c r="H787" i="4"/>
  <c r="H786" i="4" s="1"/>
  <c r="H785" i="4" s="1"/>
  <c r="H784" i="4" s="1"/>
  <c r="H782" i="4"/>
  <c r="H781" i="4" s="1"/>
  <c r="H777" i="4"/>
  <c r="H776" i="4" s="1"/>
  <c r="H775" i="4" s="1"/>
  <c r="H773" i="4"/>
  <c r="H772" i="4" s="1"/>
  <c r="H771" i="4" s="1"/>
  <c r="H769" i="4"/>
  <c r="H768" i="4" s="1"/>
  <c r="H765" i="4"/>
  <c r="H764" i="4" s="1"/>
  <c r="H763" i="4" s="1"/>
  <c r="H762" i="4"/>
  <c r="H761" i="4" s="1"/>
  <c r="H760" i="4"/>
  <c r="H759" i="4" s="1"/>
  <c r="H757" i="4"/>
  <c r="H756" i="4" s="1"/>
  <c r="H755" i="4" s="1"/>
  <c r="H753" i="4"/>
  <c r="H752" i="4" s="1"/>
  <c r="H749" i="4"/>
  <c r="H748" i="4" s="1"/>
  <c r="H747" i="4" s="1"/>
  <c r="H745" i="4"/>
  <c r="H744" i="4" s="1"/>
  <c r="H743" i="4" s="1"/>
  <c r="H741" i="4"/>
  <c r="H740" i="4" s="1"/>
  <c r="H738" i="4"/>
  <c r="H737" i="4" s="1"/>
  <c r="H734" i="4"/>
  <c r="H733" i="4" s="1"/>
  <c r="H731" i="4"/>
  <c r="H730" i="4" s="1"/>
  <c r="H728" i="4"/>
  <c r="H727" i="4" s="1"/>
  <c r="H725" i="4"/>
  <c r="H721" i="4"/>
  <c r="H720" i="4" s="1"/>
  <c r="H718" i="4"/>
  <c r="H717" i="4" s="1"/>
  <c r="H715" i="4"/>
  <c r="H714" i="4" s="1"/>
  <c r="H712" i="4"/>
  <c r="H711" i="4" s="1"/>
  <c r="H709" i="4"/>
  <c r="H708" i="4" s="1"/>
  <c r="H706" i="4"/>
  <c r="H705" i="4" s="1"/>
  <c r="H702" i="4"/>
  <c r="H701" i="4" s="1"/>
  <c r="H700" i="4" s="1"/>
  <c r="H696" i="4"/>
  <c r="H695" i="4" s="1"/>
  <c r="H691" i="4"/>
  <c r="H690" i="4" s="1"/>
  <c r="H689" i="4" s="1"/>
  <c r="H686" i="4"/>
  <c r="H685" i="4" s="1"/>
  <c r="H684" i="4" s="1"/>
  <c r="H682" i="4"/>
  <c r="H681" i="4" s="1"/>
  <c r="H680" i="4" s="1"/>
  <c r="H678" i="4"/>
  <c r="H677" i="4" s="1"/>
  <c r="H675" i="4"/>
  <c r="H674" i="4" s="1"/>
  <c r="H671" i="4"/>
  <c r="H670" i="4" s="1"/>
  <c r="H669" i="4" s="1"/>
  <c r="H667" i="4"/>
  <c r="H666" i="4" s="1"/>
  <c r="H664" i="4"/>
  <c r="H663" i="4" s="1"/>
  <c r="H661" i="4"/>
  <c r="H660" i="4" s="1"/>
  <c r="H657" i="4"/>
  <c r="H656" i="4" s="1"/>
  <c r="H654" i="4"/>
  <c r="H653" i="4" s="1"/>
  <c r="H651" i="4"/>
  <c r="H650" i="4" s="1"/>
  <c r="H647" i="4"/>
  <c r="H646" i="4" s="1"/>
  <c r="H644" i="4"/>
  <c r="H643" i="4" s="1"/>
  <c r="H641" i="4"/>
  <c r="H640" i="4" s="1"/>
  <c r="H638" i="4"/>
  <c r="H637" i="4" s="1"/>
  <c r="H634" i="4"/>
  <c r="H633" i="4" s="1"/>
  <c r="H632" i="4" s="1"/>
  <c r="H628" i="4"/>
  <c r="H620" i="4"/>
  <c r="H613" i="4"/>
  <c r="H612" i="4" s="1"/>
  <c r="H610" i="4"/>
  <c r="H609" i="4" s="1"/>
  <c r="H603" i="4"/>
  <c r="H602" i="4" s="1"/>
  <c r="H601" i="4" s="1"/>
  <c r="H599" i="4"/>
  <c r="H598" i="4" s="1"/>
  <c r="H597" i="4" s="1"/>
  <c r="H595" i="4"/>
  <c r="H593" i="4"/>
  <c r="H587" i="4"/>
  <c r="H584" i="4"/>
  <c r="H583" i="4"/>
  <c r="H582" i="4" s="1"/>
  <c r="H580" i="4"/>
  <c r="H579" i="4" s="1"/>
  <c r="H577" i="4"/>
  <c r="H575" i="4"/>
  <c r="H573" i="4"/>
  <c r="H565" i="4"/>
  <c r="H564" i="4" s="1"/>
  <c r="H562" i="4"/>
  <c r="H561" i="4" s="1"/>
  <c r="H559" i="4"/>
  <c r="H557" i="4"/>
  <c r="H549" i="4"/>
  <c r="H548" i="4" s="1"/>
  <c r="H544" i="4"/>
  <c r="H543" i="4" s="1"/>
  <c r="H540" i="4"/>
  <c r="H539" i="4" s="1"/>
  <c r="H537" i="4"/>
  <c r="H535" i="4"/>
  <c r="H533" i="4"/>
  <c r="H526" i="4"/>
  <c r="H525" i="4" s="1"/>
  <c r="H522" i="4"/>
  <c r="H521" i="4"/>
  <c r="H520" i="4"/>
  <c r="H519" i="4"/>
  <c r="H518" i="4" s="1"/>
  <c r="H516" i="4"/>
  <c r="H513" i="4" s="1"/>
  <c r="H512" i="4" s="1"/>
  <c r="H514" i="4"/>
  <c r="H509" i="4"/>
  <c r="H501" i="4"/>
  <c r="H500" i="4" s="1"/>
  <c r="H499" i="4"/>
  <c r="H496" i="4"/>
  <c r="H495" i="4" s="1"/>
  <c r="H494" i="4" s="1"/>
  <c r="H493" i="4" s="1"/>
  <c r="H492" i="4" s="1"/>
  <c r="H490" i="4"/>
  <c r="H489" i="4" s="1"/>
  <c r="H487" i="4"/>
  <c r="H484" i="4"/>
  <c r="H482" i="4"/>
  <c r="H480" i="4"/>
  <c r="H478" i="4"/>
  <c r="H474" i="4"/>
  <c r="H473" i="4" s="1"/>
  <c r="H472" i="4" s="1"/>
  <c r="H469" i="4"/>
  <c r="H468" i="4" s="1"/>
  <c r="H466" i="4"/>
  <c r="H465" i="4" s="1"/>
  <c r="H463" i="4"/>
  <c r="H461" i="4"/>
  <c r="H455" i="4"/>
  <c r="H454" i="4" s="1"/>
  <c r="H453" i="4" s="1"/>
  <c r="H452" i="4" s="1"/>
  <c r="H450" i="4"/>
  <c r="H449" i="4"/>
  <c r="H448" i="4"/>
  <c r="H447" i="4"/>
  <c r="H445" i="4"/>
  <c r="H444" i="4" s="1"/>
  <c r="H443" i="4" s="1"/>
  <c r="H441" i="4"/>
  <c r="H438" i="4"/>
  <c r="H433" i="4"/>
  <c r="H432" i="4" s="1"/>
  <c r="H431" i="4" s="1"/>
  <c r="H429" i="4"/>
  <c r="H425" i="4"/>
  <c r="H424" i="4" s="1"/>
  <c r="H422" i="4"/>
  <c r="H418" i="4"/>
  <c r="H417" i="4" s="1"/>
  <c r="H416" i="4" s="1"/>
  <c r="H414" i="4"/>
  <c r="H412" i="4"/>
  <c r="H408" i="4"/>
  <c r="H405" i="4"/>
  <c r="H403" i="4"/>
  <c r="H401" i="4"/>
  <c r="H394" i="4"/>
  <c r="H393" i="4" s="1"/>
  <c r="H389" i="4"/>
  <c r="H388" i="4" s="1"/>
  <c r="H387" i="4" s="1"/>
  <c r="H385" i="4"/>
  <c r="H384" i="4" s="1"/>
  <c r="H382" i="4"/>
  <c r="H379" i="4" s="1"/>
  <c r="H380" i="4"/>
  <c r="H376" i="4"/>
  <c r="H373" i="4"/>
  <c r="H372" i="4" s="1"/>
  <c r="H366" i="4"/>
  <c r="H365" i="4" s="1"/>
  <c r="H363" i="4" s="1"/>
  <c r="H356" i="4"/>
  <c r="H355" i="4" s="1"/>
  <c r="H353" i="4"/>
  <c r="H352" i="4" s="1"/>
  <c r="H350" i="4"/>
  <c r="H349" i="4" s="1"/>
  <c r="H346" i="4"/>
  <c r="H345" i="4" s="1"/>
  <c r="H344" i="4" s="1"/>
  <c r="H343" i="4"/>
  <c r="H584" i="5" s="1"/>
  <c r="H342" i="4"/>
  <c r="H340" i="4"/>
  <c r="H337" i="4"/>
  <c r="H336" i="4" s="1"/>
  <c r="H333" i="4"/>
  <c r="H332" i="4" s="1"/>
  <c r="H330" i="4"/>
  <c r="H329" i="4" s="1"/>
  <c r="H327" i="4"/>
  <c r="H325" i="4"/>
  <c r="H323" i="4"/>
  <c r="H316" i="4"/>
  <c r="H315" i="4" s="1"/>
  <c r="H312" i="4"/>
  <c r="H311" i="4" s="1"/>
  <c r="H309" i="4"/>
  <c r="H85" i="5" s="1"/>
  <c r="H308" i="4"/>
  <c r="H307" i="4" s="1"/>
  <c r="H304" i="4"/>
  <c r="H303" i="4" s="1"/>
  <c r="H296" i="4"/>
  <c r="H295" i="4" s="1"/>
  <c r="H293" i="4" s="1"/>
  <c r="H291" i="4"/>
  <c r="H290" i="4" s="1"/>
  <c r="H289" i="4" s="1"/>
  <c r="H286" i="4"/>
  <c r="H285" i="4" s="1"/>
  <c r="H283" i="4"/>
  <c r="H280" i="4"/>
  <c r="H279" i="4" s="1"/>
  <c r="H277" i="4"/>
  <c r="H276" i="4" s="1"/>
  <c r="H274" i="4"/>
  <c r="H273" i="4"/>
  <c r="H269" i="4"/>
  <c r="H268" i="4" s="1"/>
  <c r="H266" i="4"/>
  <c r="H265" i="4" s="1"/>
  <c r="H257" i="4"/>
  <c r="H255" i="4"/>
  <c r="H250" i="4"/>
  <c r="H443" i="5" s="1"/>
  <c r="H249" i="4"/>
  <c r="H243" i="4"/>
  <c r="H242" i="4" s="1"/>
  <c r="H241" i="4" s="1"/>
  <c r="H240" i="4" s="1"/>
  <c r="H239" i="4" s="1"/>
  <c r="H236" i="4"/>
  <c r="H235" i="4" s="1"/>
  <c r="H234" i="4" s="1"/>
  <c r="H233" i="4" s="1"/>
  <c r="H1287" i="4" s="1"/>
  <c r="H231" i="4"/>
  <c r="H229" i="4"/>
  <c r="H223" i="4"/>
  <c r="H222" i="4" s="1"/>
  <c r="H219" i="4"/>
  <c r="H218" i="4" s="1"/>
  <c r="H217" i="4" s="1"/>
  <c r="H1260" i="4"/>
  <c r="H212" i="4"/>
  <c r="H211" i="4"/>
  <c r="H208" i="4"/>
  <c r="H202" i="4"/>
  <c r="H201" i="4" s="1"/>
  <c r="H199" i="4"/>
  <c r="H198" i="4" s="1"/>
  <c r="H196" i="4"/>
  <c r="H194" i="4"/>
  <c r="H190" i="4"/>
  <c r="H187" i="4"/>
  <c r="H186" i="4" s="1"/>
  <c r="H180" i="4"/>
  <c r="H173" i="4"/>
  <c r="H172" i="4" s="1"/>
  <c r="H169" i="4"/>
  <c r="H975" i="5" s="1"/>
  <c r="H168" i="4"/>
  <c r="H167" i="4" s="1"/>
  <c r="H165" i="4" s="1"/>
  <c r="H1301" i="4" s="1"/>
  <c r="H163" i="4"/>
  <c r="H162" i="4" s="1"/>
  <c r="H161" i="4" s="1"/>
  <c r="H160" i="4"/>
  <c r="H883" i="5" s="1"/>
  <c r="H159" i="4"/>
  <c r="H154" i="4"/>
  <c r="H153" i="4" s="1"/>
  <c r="H151" i="4"/>
  <c r="H150" i="4" s="1"/>
  <c r="H148" i="4"/>
  <c r="H146" i="4"/>
  <c r="H142" i="4"/>
  <c r="H141" i="4" s="1"/>
  <c r="H140" i="4" s="1"/>
  <c r="H136" i="4"/>
  <c r="H135" i="4" s="1"/>
  <c r="H133" i="4"/>
  <c r="H131" i="4"/>
  <c r="H130" i="4"/>
  <c r="H129" i="4" s="1"/>
  <c r="H125" i="4"/>
  <c r="H122" i="4"/>
  <c r="H121" i="4" s="1"/>
  <c r="H116" i="4"/>
  <c r="H115" i="4"/>
  <c r="H113" i="4"/>
  <c r="H109" i="4"/>
  <c r="H106" i="4"/>
  <c r="H104" i="4"/>
  <c r="H100" i="4"/>
  <c r="H95" i="4"/>
  <c r="H93" i="4"/>
  <c r="H90" i="4"/>
  <c r="H88" i="4"/>
  <c r="H85" i="4"/>
  <c r="H83" i="4"/>
  <c r="H80" i="4"/>
  <c r="H79" i="4" s="1"/>
  <c r="H77" i="4"/>
  <c r="H76" i="4"/>
  <c r="H73" i="4"/>
  <c r="H72" i="4" s="1"/>
  <c r="H70" i="4"/>
  <c r="H69" i="4" s="1"/>
  <c r="H67" i="4"/>
  <c r="H66" i="4" s="1"/>
  <c r="H64" i="4"/>
  <c r="H63" i="4"/>
  <c r="G56" i="3" s="1"/>
  <c r="G55" i="3" s="1"/>
  <c r="H62" i="4"/>
  <c r="H60" i="4"/>
  <c r="H58" i="4"/>
  <c r="H52" i="4"/>
  <c r="H51" i="4" s="1"/>
  <c r="H50" i="4" s="1"/>
  <c r="H49" i="4" s="1"/>
  <c r="H48" i="4"/>
  <c r="H45" i="4"/>
  <c r="H44" i="4"/>
  <c r="H41" i="4"/>
  <c r="H39" i="4"/>
  <c r="H31" i="4"/>
  <c r="H30" i="4" s="1"/>
  <c r="H29" i="4" s="1"/>
  <c r="H28" i="4" s="1"/>
  <c r="H27" i="4" s="1"/>
  <c r="H25" i="4"/>
  <c r="H24" i="4" s="1"/>
  <c r="H22" i="4"/>
  <c r="H21" i="4" s="1"/>
  <c r="H19" i="4"/>
  <c r="H17" i="4"/>
  <c r="H15" i="4"/>
  <c r="H43" i="4" l="1"/>
  <c r="H47" i="4"/>
  <c r="G22" i="3"/>
  <c r="H108" i="4"/>
  <c r="H128" i="4"/>
  <c r="H179" i="4"/>
  <c r="H210" i="4"/>
  <c r="H221" i="4"/>
  <c r="H306" i="4"/>
  <c r="H310" i="4"/>
  <c r="H407" i="4"/>
  <c r="H440" i="4"/>
  <c r="H486" i="4"/>
  <c r="H619" i="4"/>
  <c r="G1001" i="3"/>
  <c r="H636" i="4"/>
  <c r="H659" i="4"/>
  <c r="H673" i="4"/>
  <c r="H873" i="4"/>
  <c r="G404" i="3"/>
  <c r="H1059" i="4"/>
  <c r="H1066" i="4"/>
  <c r="H993" i="5"/>
  <c r="G437" i="3"/>
  <c r="G520" i="3"/>
  <c r="H1175" i="4"/>
  <c r="H1199" i="4"/>
  <c r="H158" i="4"/>
  <c r="H207" i="4"/>
  <c r="H940" i="5"/>
  <c r="G285" i="3"/>
  <c r="H216" i="4"/>
  <c r="H248" i="4"/>
  <c r="H282" i="4"/>
  <c r="H302" i="4"/>
  <c r="H314" i="4"/>
  <c r="H375" i="4"/>
  <c r="H658" i="5"/>
  <c r="H437" i="4"/>
  <c r="G897" i="3"/>
  <c r="H508" i="4"/>
  <c r="H724" i="4"/>
  <c r="H780" i="4"/>
  <c r="H850" i="4"/>
  <c r="H849" i="4" s="1"/>
  <c r="H856" i="4"/>
  <c r="H984" i="4"/>
  <c r="G268" i="3"/>
  <c r="G267" i="3" s="1"/>
  <c r="G266" i="3" s="1"/>
  <c r="H995" i="4"/>
  <c r="G456" i="3"/>
  <c r="H728" i="5"/>
  <c r="H1133" i="4"/>
  <c r="G524" i="3"/>
  <c r="H1177" i="4"/>
  <c r="G1014" i="3"/>
  <c r="H1211" i="4"/>
  <c r="H1240" i="4"/>
  <c r="G118" i="3"/>
  <c r="G18" i="3"/>
  <c r="G78" i="3"/>
  <c r="G150" i="3"/>
  <c r="G219" i="3"/>
  <c r="G225" i="3"/>
  <c r="G245" i="3"/>
  <c r="G254" i="3"/>
  <c r="G298" i="3"/>
  <c r="G310" i="3"/>
  <c r="G332" i="3"/>
  <c r="G340" i="3"/>
  <c r="G358" i="3"/>
  <c r="G392" i="3"/>
  <c r="G398" i="3"/>
  <c r="G442" i="3"/>
  <c r="G460" i="3"/>
  <c r="H758" i="5"/>
  <c r="G478" i="3"/>
  <c r="G676" i="3"/>
  <c r="G921" i="3"/>
  <c r="H79" i="5"/>
  <c r="H77" i="5"/>
  <c r="H664" i="5"/>
  <c r="H710" i="5"/>
  <c r="H869" i="5"/>
  <c r="H19" i="6"/>
  <c r="H41" i="6"/>
  <c r="H82" i="4"/>
  <c r="H87" i="4"/>
  <c r="H145" i="4"/>
  <c r="H884" i="5"/>
  <c r="H882" i="5"/>
  <c r="H444" i="5"/>
  <c r="H442" i="5"/>
  <c r="H86" i="5"/>
  <c r="H84" i="5"/>
  <c r="H585" i="5"/>
  <c r="H371" i="4"/>
  <c r="H460" i="4"/>
  <c r="H129" i="5"/>
  <c r="G985" i="3"/>
  <c r="H627" i="4"/>
  <c r="H626" i="4" s="1"/>
  <c r="H856" i="5"/>
  <c r="G215" i="3"/>
  <c r="H649" i="4"/>
  <c r="H704" i="4"/>
  <c r="H1048" i="4"/>
  <c r="H1109" i="4"/>
  <c r="H1121" i="4"/>
  <c r="H743" i="5"/>
  <c r="H1223" i="4"/>
  <c r="H1237" i="4"/>
  <c r="H1236" i="4" s="1"/>
  <c r="H1235" i="4" s="1"/>
  <c r="H1234" i="4" s="1"/>
  <c r="G90" i="3"/>
  <c r="G318" i="3"/>
  <c r="G337" i="3"/>
  <c r="G344" i="3"/>
  <c r="G375" i="3"/>
  <c r="G390" i="3"/>
  <c r="G423" i="3"/>
  <c r="G422" i="3" s="1"/>
  <c r="G421" i="3" s="1"/>
  <c r="H834" i="5"/>
  <c r="H835" i="5" s="1"/>
  <c r="G447" i="3"/>
  <c r="G469" i="3"/>
  <c r="G540" i="3"/>
  <c r="G696" i="3"/>
  <c r="G727" i="3"/>
  <c r="H41" i="5"/>
  <c r="G797" i="3"/>
  <c r="G899" i="3"/>
  <c r="G908" i="3"/>
  <c r="G971" i="3"/>
  <c r="G996" i="3"/>
  <c r="H69" i="5"/>
  <c r="H154" i="5"/>
  <c r="H152" i="5"/>
  <c r="H151" i="5" s="1"/>
  <c r="H150" i="5" s="1"/>
  <c r="H149" i="5" s="1"/>
  <c r="H262" i="5"/>
  <c r="H260" i="5"/>
  <c r="H259" i="5" s="1"/>
  <c r="H273" i="5"/>
  <c r="H346" i="5"/>
  <c r="H746" i="5"/>
  <c r="H791" i="5"/>
  <c r="H888" i="5"/>
  <c r="H974" i="5"/>
  <c r="H973" i="5" s="1"/>
  <c r="H972" i="5" s="1"/>
  <c r="H971" i="5" s="1"/>
  <c r="H969" i="5" s="1"/>
  <c r="H976" i="5" s="1"/>
  <c r="G36" i="3"/>
  <c r="G51" i="3"/>
  <c r="K48" i="3"/>
  <c r="H61" i="5"/>
  <c r="H60" i="5" s="1"/>
  <c r="H63" i="5"/>
  <c r="H90" i="5"/>
  <c r="H97" i="5"/>
  <c r="H112" i="5"/>
  <c r="H170" i="5"/>
  <c r="H169" i="5" s="1"/>
  <c r="H172" i="5" s="1"/>
  <c r="H236" i="5"/>
  <c r="H250" i="5"/>
  <c r="H248" i="5"/>
  <c r="H427" i="5"/>
  <c r="H429" i="5"/>
  <c r="H456" i="5"/>
  <c r="H454" i="5"/>
  <c r="H471" i="5"/>
  <c r="H636" i="5"/>
  <c r="H638" i="5"/>
  <c r="H679" i="5"/>
  <c r="H699" i="5"/>
  <c r="H733" i="5"/>
  <c r="H731" i="5"/>
  <c r="H860" i="5"/>
  <c r="H858" i="5"/>
  <c r="H868" i="5"/>
  <c r="H866" i="5"/>
  <c r="H876" i="5"/>
  <c r="H874" i="5"/>
  <c r="H958" i="5"/>
  <c r="H957" i="5" s="1"/>
  <c r="H956" i="5" s="1"/>
  <c r="H955" i="5" s="1"/>
  <c r="H954" i="5" s="1"/>
  <c r="H749" i="5"/>
  <c r="H833" i="5"/>
  <c r="H832" i="5" s="1"/>
  <c r="H831" i="5" s="1"/>
  <c r="H830" i="5" s="1"/>
  <c r="H829" i="5" s="1"/>
  <c r="H625" i="4"/>
  <c r="G214" i="3"/>
  <c r="H390" i="5"/>
  <c r="H389" i="5" s="1"/>
  <c r="G120" i="3"/>
  <c r="G41" i="3"/>
  <c r="H1228" i="4"/>
  <c r="H1218" i="4"/>
  <c r="G31" i="3"/>
  <c r="G544" i="3"/>
  <c r="G534" i="3"/>
  <c r="G532" i="3"/>
  <c r="H1183" i="4"/>
  <c r="G528" i="3"/>
  <c r="G526" i="3"/>
  <c r="G513" i="3"/>
  <c r="G510" i="3"/>
  <c r="H1166" i="4"/>
  <c r="G508" i="3"/>
  <c r="G506" i="3"/>
  <c r="H1153" i="4"/>
  <c r="H946" i="5"/>
  <c r="H953" i="5" s="1"/>
  <c r="G498" i="3"/>
  <c r="G494" i="3"/>
  <c r="G488" i="3"/>
  <c r="H772" i="5"/>
  <c r="G484" i="3"/>
  <c r="H762" i="5"/>
  <c r="G473" i="3"/>
  <c r="G466" i="3"/>
  <c r="H741" i="5"/>
  <c r="H723" i="5"/>
  <c r="G454" i="3"/>
  <c r="H721" i="5"/>
  <c r="G450" i="3"/>
  <c r="H719" i="5"/>
  <c r="H717" i="5"/>
  <c r="H1085" i="4"/>
  <c r="H849" i="5"/>
  <c r="H840" i="5"/>
  <c r="G427" i="3"/>
  <c r="G418" i="3"/>
  <c r="H827" i="5"/>
  <c r="H1074" i="4"/>
  <c r="H820" i="5"/>
  <c r="H806" i="5"/>
  <c r="H805" i="5" s="1"/>
  <c r="G384" i="3"/>
  <c r="G379" i="3"/>
  <c r="G372" i="3"/>
  <c r="G356" i="3"/>
  <c r="G367" i="3"/>
  <c r="H24" i="5"/>
  <c r="G304" i="3"/>
  <c r="G175" i="3"/>
  <c r="G171" i="3"/>
  <c r="G166" i="3"/>
  <c r="G1091" i="3"/>
  <c r="G1090" i="3" s="1"/>
  <c r="G1089" i="3" s="1"/>
  <c r="H952" i="4"/>
  <c r="G1087" i="3"/>
  <c r="G1083" i="3"/>
  <c r="G1079" i="3"/>
  <c r="G1068" i="3"/>
  <c r="G1059" i="3"/>
  <c r="H911" i="4"/>
  <c r="G1050" i="3"/>
  <c r="H505" i="5"/>
  <c r="H510" i="5"/>
  <c r="I510" i="5" s="1"/>
  <c r="H907" i="4"/>
  <c r="G1047" i="3"/>
  <c r="H492" i="5"/>
  <c r="G1038" i="3"/>
  <c r="H478" i="5"/>
  <c r="H473" i="5"/>
  <c r="H469" i="5"/>
  <c r="H894" i="4"/>
  <c r="H461" i="5"/>
  <c r="G1023" i="3"/>
  <c r="H453" i="5"/>
  <c r="H450" i="5"/>
  <c r="H515" i="5"/>
  <c r="G852" i="3"/>
  <c r="G842" i="3"/>
  <c r="G839" i="3"/>
  <c r="G828" i="3"/>
  <c r="G825" i="3"/>
  <c r="H842" i="4"/>
  <c r="G823" i="3"/>
  <c r="H266" i="5"/>
  <c r="H831" i="4"/>
  <c r="H269" i="5"/>
  <c r="H906" i="5"/>
  <c r="G787" i="3"/>
  <c r="H909" i="5"/>
  <c r="H820" i="4"/>
  <c r="H378" i="5"/>
  <c r="G736" i="3"/>
  <c r="G731" i="3"/>
  <c r="G723" i="3"/>
  <c r="G720" i="3"/>
  <c r="H222" i="5"/>
  <c r="H225" i="5"/>
  <c r="H220" i="5"/>
  <c r="H166" i="5"/>
  <c r="G711" i="3"/>
  <c r="G713" i="3"/>
  <c r="H162" i="5"/>
  <c r="H900" i="5"/>
  <c r="H898" i="5"/>
  <c r="G688" i="3"/>
  <c r="H388" i="5"/>
  <c r="G691" i="3"/>
  <c r="H767" i="4"/>
  <c r="H362" i="5"/>
  <c r="G683" i="3"/>
  <c r="G679" i="3"/>
  <c r="H349" i="5"/>
  <c r="G671" i="3"/>
  <c r="H337" i="5"/>
  <c r="H326" i="5"/>
  <c r="H324" i="5"/>
  <c r="H751" i="4"/>
  <c r="G668" i="3"/>
  <c r="H319" i="5"/>
  <c r="H317" i="5"/>
  <c r="G664" i="3"/>
  <c r="G660" i="3"/>
  <c r="H312" i="5"/>
  <c r="H310" i="5"/>
  <c r="G656" i="3"/>
  <c r="H286" i="5"/>
  <c r="G645" i="3"/>
  <c r="H256" i="5"/>
  <c r="H258" i="5"/>
  <c r="G642" i="3"/>
  <c r="H216" i="5"/>
  <c r="H214" i="5"/>
  <c r="G636" i="3"/>
  <c r="H211" i="5"/>
  <c r="H207" i="5"/>
  <c r="G630" i="3"/>
  <c r="H203" i="5"/>
  <c r="H200" i="5"/>
  <c r="H198" i="5"/>
  <c r="G624" i="3"/>
  <c r="H194" i="5"/>
  <c r="G615" i="3"/>
  <c r="H157" i="5"/>
  <c r="H688" i="4"/>
  <c r="G606" i="3"/>
  <c r="H682" i="5"/>
  <c r="H370" i="5"/>
  <c r="H373" i="5"/>
  <c r="H357" i="5"/>
  <c r="H361" i="5"/>
  <c r="H330" i="5"/>
  <c r="H301" i="5"/>
  <c r="H282" i="5"/>
  <c r="H277" i="5"/>
  <c r="H280" i="5"/>
  <c r="G582" i="3"/>
  <c r="H241" i="5"/>
  <c r="H244" i="5"/>
  <c r="G571" i="3"/>
  <c r="H237" i="5"/>
  <c r="H234" i="5"/>
  <c r="H190" i="5"/>
  <c r="G561" i="3"/>
  <c r="H186" i="5"/>
  <c r="H182" i="5"/>
  <c r="G556" i="3"/>
  <c r="H178" i="5"/>
  <c r="G551" i="3"/>
  <c r="G364" i="3"/>
  <c r="G237" i="3"/>
  <c r="H966" i="5"/>
  <c r="G183" i="3"/>
  <c r="H586" i="4"/>
  <c r="G140" i="3"/>
  <c r="G138" i="3"/>
  <c r="H542" i="4"/>
  <c r="G1107" i="3"/>
  <c r="H611" i="5"/>
  <c r="G1110" i="3"/>
  <c r="H571" i="5"/>
  <c r="G1105" i="3"/>
  <c r="H567" i="5"/>
  <c r="G1103" i="3"/>
  <c r="G1101" i="3"/>
  <c r="G988" i="3"/>
  <c r="H524" i="4"/>
  <c r="H146" i="5"/>
  <c r="H26" i="6"/>
  <c r="H38" i="6"/>
  <c r="H31" i="6"/>
  <c r="H121" i="5"/>
  <c r="G977" i="3"/>
  <c r="H498" i="4"/>
  <c r="H696" i="5"/>
  <c r="G957" i="3"/>
  <c r="G959" i="3"/>
  <c r="H137" i="5"/>
  <c r="H140" i="5"/>
  <c r="G953" i="3"/>
  <c r="G948" i="3"/>
  <c r="G944" i="3"/>
  <c r="G936" i="3"/>
  <c r="G930" i="3"/>
  <c r="G919" i="3"/>
  <c r="G912" i="3"/>
  <c r="H913" i="5"/>
  <c r="G890" i="3"/>
  <c r="H646" i="5"/>
  <c r="H635" i="5"/>
  <c r="G883" i="3"/>
  <c r="H634" i="5"/>
  <c r="H632" i="5"/>
  <c r="H421" i="4"/>
  <c r="G881" i="3"/>
  <c r="G876" i="3"/>
  <c r="H606" i="5"/>
  <c r="H607" i="5" s="1"/>
  <c r="G873" i="3"/>
  <c r="H593" i="5"/>
  <c r="H590" i="5"/>
  <c r="G871" i="3"/>
  <c r="H411" i="4"/>
  <c r="H551" i="5"/>
  <c r="H546" i="5"/>
  <c r="H542" i="5"/>
  <c r="H545" i="5"/>
  <c r="H555" i="5"/>
  <c r="H392" i="4"/>
  <c r="G803" i="3"/>
  <c r="G801" i="3"/>
  <c r="G805" i="3"/>
  <c r="H45" i="5"/>
  <c r="H36" i="5"/>
  <c r="G783" i="3"/>
  <c r="H902" i="5"/>
  <c r="H364" i="4"/>
  <c r="H905" i="5"/>
  <c r="G293" i="3"/>
  <c r="H112" i="4"/>
  <c r="H435" i="5"/>
  <c r="G159" i="3"/>
  <c r="H414" i="5"/>
  <c r="G26" i="3"/>
  <c r="G777" i="3"/>
  <c r="G779" i="3"/>
  <c r="G771" i="3"/>
  <c r="H622" i="5"/>
  <c r="H618" i="5"/>
  <c r="G768" i="3"/>
  <c r="H620" i="5"/>
  <c r="G763" i="3"/>
  <c r="G757" i="3"/>
  <c r="H582" i="5"/>
  <c r="G755" i="3"/>
  <c r="H576" i="5"/>
  <c r="G745" i="3"/>
  <c r="G743" i="3"/>
  <c r="H526" i="5"/>
  <c r="H525" i="5"/>
  <c r="G741" i="3"/>
  <c r="H294" i="4"/>
  <c r="G231" i="3"/>
  <c r="H886" i="5"/>
  <c r="G216" i="3"/>
  <c r="H862" i="5"/>
  <c r="H110" i="5"/>
  <c r="H264" i="4"/>
  <c r="H263" i="4" s="1"/>
  <c r="H262" i="4" s="1"/>
  <c r="H106" i="5"/>
  <c r="G206" i="3"/>
  <c r="H108" i="5"/>
  <c r="G1005" i="3"/>
  <c r="G964" i="3"/>
  <c r="H13" i="6"/>
  <c r="G347" i="3"/>
  <c r="H401" i="5"/>
  <c r="G324" i="3"/>
  <c r="H945" i="5"/>
  <c r="G279" i="3"/>
  <c r="G276" i="3"/>
  <c r="H193" i="4"/>
  <c r="G270" i="3"/>
  <c r="H189" i="4"/>
  <c r="G264" i="3"/>
  <c r="H929" i="5"/>
  <c r="H934" i="5"/>
  <c r="G200" i="3"/>
  <c r="G196" i="3"/>
  <c r="G194" i="3"/>
  <c r="G192" i="3"/>
  <c r="G188" i="3"/>
  <c r="H124" i="4"/>
  <c r="H424" i="5"/>
  <c r="H421" i="5"/>
  <c r="G95" i="3"/>
  <c r="H99" i="4"/>
  <c r="H409" i="5"/>
  <c r="H92" i="4"/>
  <c r="G86" i="3"/>
  <c r="G83" i="3"/>
  <c r="G66" i="3"/>
  <c r="G60" i="3"/>
  <c r="H57" i="4"/>
  <c r="G128" i="3"/>
  <c r="G126" i="3"/>
  <c r="H428" i="4"/>
  <c r="H427" i="4" s="1"/>
  <c r="G888" i="3"/>
  <c r="H10" i="5"/>
  <c r="H12" i="5"/>
  <c r="H11" i="5" s="1"/>
  <c r="H57" i="5"/>
  <c r="H59" i="5"/>
  <c r="H52" i="5"/>
  <c r="H133" i="5"/>
  <c r="H221" i="5"/>
  <c r="H293" i="5"/>
  <c r="H298" i="5"/>
  <c r="H486" i="5"/>
  <c r="H737" i="5"/>
  <c r="H289" i="5"/>
  <c r="H305" i="5"/>
  <c r="H652" i="5"/>
  <c r="H726" i="5"/>
  <c r="H724" i="5"/>
  <c r="H748" i="5"/>
  <c r="H601" i="5"/>
  <c r="H599" i="5"/>
  <c r="H657" i="5"/>
  <c r="H659" i="5"/>
  <c r="H742" i="5"/>
  <c r="H744" i="5"/>
  <c r="H783" i="5"/>
  <c r="H785" i="5"/>
  <c r="H927" i="5"/>
  <c r="H923" i="5"/>
  <c r="H16" i="5"/>
  <c r="H56" i="5"/>
  <c r="H254" i="5"/>
  <c r="H531" i="5"/>
  <c r="H628" i="5"/>
  <c r="H692" i="5"/>
  <c r="H842" i="5"/>
  <c r="H93" i="5"/>
  <c r="H229" i="5"/>
  <c r="H366" i="5"/>
  <c r="H482" i="5"/>
  <c r="H501" i="5"/>
  <c r="H535" i="5"/>
  <c r="H562" i="5"/>
  <c r="H671" i="5"/>
  <c r="H687" i="5"/>
  <c r="H812" i="5"/>
  <c r="H983" i="5"/>
  <c r="H559" i="5"/>
  <c r="H583" i="5"/>
  <c r="H643" i="5"/>
  <c r="H768" i="5"/>
  <c r="H893" i="5"/>
  <c r="I16" i="5"/>
  <c r="I14" i="5"/>
  <c r="I13" i="5" s="1"/>
  <c r="G12" i="3"/>
  <c r="G50" i="3"/>
  <c r="G75" i="3"/>
  <c r="G99" i="3"/>
  <c r="G567" i="3"/>
  <c r="G137" i="3"/>
  <c r="G503" i="3"/>
  <c r="G820" i="3"/>
  <c r="G898" i="3"/>
  <c r="G521" i="3"/>
  <c r="G859" i="3"/>
  <c r="G918" i="3"/>
  <c r="G1025" i="3"/>
  <c r="G1064" i="3"/>
  <c r="G453" i="3"/>
  <c r="G238" i="3"/>
  <c r="G986" i="3"/>
  <c r="H1217" i="4"/>
  <c r="H1034" i="4"/>
  <c r="H966" i="4"/>
  <c r="H938" i="4"/>
  <c r="H887" i="4"/>
  <c r="H791" i="4"/>
  <c r="H608" i="4"/>
  <c r="H556" i="4"/>
  <c r="H532" i="4"/>
  <c r="H477" i="4"/>
  <c r="H400" i="4"/>
  <c r="H378" i="4"/>
  <c r="H348" i="4"/>
  <c r="H322" i="4"/>
  <c r="H272" i="4"/>
  <c r="H254" i="4"/>
  <c r="H228" i="4"/>
  <c r="H192" i="4"/>
  <c r="H144" i="4"/>
  <c r="H120" i="4"/>
  <c r="H103" i="4"/>
  <c r="H38" i="4"/>
  <c r="H14" i="4"/>
  <c r="H171" i="4"/>
  <c r="H170" i="4"/>
  <c r="H1295" i="4"/>
  <c r="H301" i="4"/>
  <c r="H546" i="4"/>
  <c r="H547" i="4"/>
  <c r="H209" i="4"/>
  <c r="H592" i="4"/>
  <c r="H572" i="4"/>
  <c r="H900" i="4"/>
  <c r="H694" i="4"/>
  <c r="H693" i="4"/>
  <c r="H824" i="4"/>
  <c r="H823" i="4"/>
  <c r="H166" i="4"/>
  <c r="H288" i="4"/>
  <c r="H361" i="4"/>
  <c r="H359" i="4"/>
  <c r="H459" i="4"/>
  <c r="H555" i="4"/>
  <c r="H1159" i="4"/>
  <c r="H339" i="4"/>
  <c r="H1174" i="4"/>
  <c r="H600" i="4"/>
  <c r="H801" i="4"/>
  <c r="H926" i="4"/>
  <c r="H1000" i="4"/>
  <c r="H1011" i="4"/>
  <c r="H736" i="4"/>
  <c r="H1092" i="4"/>
  <c r="H1303" i="4"/>
  <c r="H1189" i="4"/>
  <c r="H880" i="4"/>
  <c r="H1278" i="4"/>
  <c r="H1105" i="4"/>
  <c r="G574" i="4"/>
  <c r="I574" i="4" s="1"/>
  <c r="H1091" i="4" l="1"/>
  <c r="H300" i="4"/>
  <c r="H56" i="4"/>
  <c r="H185" i="4"/>
  <c r="H184" i="4" s="1"/>
  <c r="H522" i="5"/>
  <c r="H511" i="4"/>
  <c r="G836" i="3"/>
  <c r="G1076" i="3"/>
  <c r="G168" i="3"/>
  <c r="G800" i="3"/>
  <c r="H807" i="5"/>
  <c r="H285" i="5"/>
  <c r="H836" i="4"/>
  <c r="H835" i="4" s="1"/>
  <c r="H20" i="5"/>
  <c r="H730" i="5"/>
  <c r="H426" i="5"/>
  <c r="H247" i="5"/>
  <c r="H96" i="5"/>
  <c r="H89" i="5"/>
  <c r="H745" i="5"/>
  <c r="G995" i="3"/>
  <c r="G907" i="3"/>
  <c r="G726" i="3"/>
  <c r="G695" i="3"/>
  <c r="G539" i="3"/>
  <c r="G468" i="3"/>
  <c r="G343" i="3"/>
  <c r="G336" i="3"/>
  <c r="H855" i="5"/>
  <c r="H854" i="5" s="1"/>
  <c r="H857" i="5"/>
  <c r="G984" i="3"/>
  <c r="H709" i="5"/>
  <c r="G477" i="3"/>
  <c r="H759" i="5"/>
  <c r="H757" i="5"/>
  <c r="G459" i="3"/>
  <c r="G441" i="3"/>
  <c r="G397" i="3"/>
  <c r="G117" i="3"/>
  <c r="H1039" i="4"/>
  <c r="H779" i="4"/>
  <c r="H507" i="4"/>
  <c r="H436" i="4"/>
  <c r="G284" i="3"/>
  <c r="H206" i="4"/>
  <c r="H157" i="4"/>
  <c r="H992" i="5"/>
  <c r="H1065" i="4"/>
  <c r="H631" i="4"/>
  <c r="H630" i="4" s="1"/>
  <c r="G1000" i="3"/>
  <c r="H618" i="4"/>
  <c r="H439" i="4"/>
  <c r="G21" i="3"/>
  <c r="H75" i="4"/>
  <c r="H215" i="4"/>
  <c r="H1132" i="4"/>
  <c r="G983" i="3"/>
  <c r="G531" i="3"/>
  <c r="G525" i="3"/>
  <c r="G313" i="3"/>
  <c r="G30" i="3"/>
  <c r="G29" i="3" s="1"/>
  <c r="H579" i="5"/>
  <c r="H738" i="5"/>
  <c r="H656" i="5"/>
  <c r="H970" i="5"/>
  <c r="H873" i="5"/>
  <c r="H865" i="5"/>
  <c r="H678" i="5"/>
  <c r="H792" i="5"/>
  <c r="H790" i="5"/>
  <c r="H345" i="5"/>
  <c r="H68" i="5"/>
  <c r="G970" i="3"/>
  <c r="G796" i="3"/>
  <c r="H42" i="5"/>
  <c r="H40" i="5"/>
  <c r="G446" i="3"/>
  <c r="G389" i="3"/>
  <c r="H130" i="5"/>
  <c r="H128" i="5"/>
  <c r="H83" i="5"/>
  <c r="H441" i="5"/>
  <c r="H881" i="5"/>
  <c r="H40" i="6"/>
  <c r="H18" i="6"/>
  <c r="H663" i="5"/>
  <c r="H76" i="5"/>
  <c r="G675" i="3"/>
  <c r="G339" i="3"/>
  <c r="G331" i="3"/>
  <c r="G309" i="3"/>
  <c r="G297" i="3"/>
  <c r="G253" i="3"/>
  <c r="G244" i="3"/>
  <c r="G149" i="3"/>
  <c r="G17" i="3"/>
  <c r="H1210" i="4"/>
  <c r="G1013" i="3"/>
  <c r="H727" i="5"/>
  <c r="H729" i="5"/>
  <c r="H983" i="4"/>
  <c r="H723" i="4"/>
  <c r="G896" i="3"/>
  <c r="H247" i="4"/>
  <c r="H939" i="5"/>
  <c r="H941" i="5"/>
  <c r="H1198" i="4"/>
  <c r="G519" i="3"/>
  <c r="G436" i="3"/>
  <c r="H1058" i="4"/>
  <c r="H799" i="5"/>
  <c r="G403" i="3"/>
  <c r="H872" i="4"/>
  <c r="H178" i="4"/>
  <c r="H127" i="4"/>
  <c r="H46" i="4"/>
  <c r="H811" i="5"/>
  <c r="H624" i="4"/>
  <c r="G213" i="3"/>
  <c r="G119" i="3"/>
  <c r="H1216" i="4"/>
  <c r="H1188" i="4"/>
  <c r="G530" i="3"/>
  <c r="G518" i="3"/>
  <c r="H1173" i="4"/>
  <c r="H1152" i="4"/>
  <c r="G497" i="3"/>
  <c r="G502" i="3"/>
  <c r="H1158" i="4"/>
  <c r="G493" i="3"/>
  <c r="H771" i="5"/>
  <c r="G487" i="3"/>
  <c r="H767" i="5"/>
  <c r="G483" i="3"/>
  <c r="H763" i="5"/>
  <c r="H761" i="5"/>
  <c r="G465" i="3"/>
  <c r="G449" i="3"/>
  <c r="H1100" i="4"/>
  <c r="H716" i="5"/>
  <c r="G426" i="3"/>
  <c r="H839" i="5"/>
  <c r="H1073" i="4"/>
  <c r="H826" i="5"/>
  <c r="H828" i="5"/>
  <c r="G417" i="3"/>
  <c r="H819" i="5"/>
  <c r="H821" i="5"/>
  <c r="H804" i="5"/>
  <c r="G383" i="3"/>
  <c r="G378" i="3"/>
  <c r="H1027" i="4"/>
  <c r="G371" i="3"/>
  <c r="H1026" i="4"/>
  <c r="H1010" i="4"/>
  <c r="H1009" i="4" s="1"/>
  <c r="G355" i="3"/>
  <c r="G366" i="3"/>
  <c r="H19" i="5"/>
  <c r="G312" i="3"/>
  <c r="G303" i="3"/>
  <c r="H962" i="4"/>
  <c r="H961" i="4" s="1"/>
  <c r="G165" i="3"/>
  <c r="H497" i="5"/>
  <c r="H496" i="5" s="1"/>
  <c r="H951" i="4"/>
  <c r="G1086" i="3"/>
  <c r="H937" i="4"/>
  <c r="G1075" i="3"/>
  <c r="H925" i="4"/>
  <c r="G1063" i="3"/>
  <c r="G1058" i="3"/>
  <c r="G1049" i="3"/>
  <c r="H504" i="5"/>
  <c r="H491" i="5"/>
  <c r="H493" i="5"/>
  <c r="G1046" i="3"/>
  <c r="H477" i="5"/>
  <c r="H472" i="5"/>
  <c r="H468" i="5"/>
  <c r="H460" i="5"/>
  <c r="G1022" i="3"/>
  <c r="H449" i="5"/>
  <c r="H514" i="5"/>
  <c r="G841" i="3"/>
  <c r="H855" i="4"/>
  <c r="H848" i="4" s="1"/>
  <c r="G832" i="3"/>
  <c r="G819" i="3"/>
  <c r="H830" i="4"/>
  <c r="H265" i="5"/>
  <c r="G786" i="3"/>
  <c r="H819" i="4"/>
  <c r="G735" i="3"/>
  <c r="H377" i="5"/>
  <c r="G730" i="3"/>
  <c r="G716" i="3"/>
  <c r="H219" i="5"/>
  <c r="G710" i="3"/>
  <c r="H165" i="5"/>
  <c r="H161" i="5"/>
  <c r="H897" i="5"/>
  <c r="G687" i="3"/>
  <c r="H394" i="5"/>
  <c r="G690" i="3"/>
  <c r="G682" i="3"/>
  <c r="H348" i="5"/>
  <c r="G678" i="3"/>
  <c r="G670" i="3"/>
  <c r="H336" i="5"/>
  <c r="G667" i="3"/>
  <c r="H323" i="5"/>
  <c r="H316" i="5"/>
  <c r="G663" i="3"/>
  <c r="G659" i="3"/>
  <c r="H309" i="5"/>
  <c r="G655" i="3"/>
  <c r="H255" i="5"/>
  <c r="G638" i="3"/>
  <c r="G635" i="3"/>
  <c r="H213" i="5"/>
  <c r="H212" i="5"/>
  <c r="H210" i="5"/>
  <c r="G629" i="3"/>
  <c r="H208" i="5"/>
  <c r="H206" i="5"/>
  <c r="H204" i="5"/>
  <c r="H202" i="5"/>
  <c r="G623" i="3"/>
  <c r="H197" i="5"/>
  <c r="H193" i="5"/>
  <c r="H156" i="5"/>
  <c r="H892" i="5"/>
  <c r="G605" i="3"/>
  <c r="H369" i="5"/>
  <c r="H356" i="5"/>
  <c r="H329" i="5"/>
  <c r="H300" i="5"/>
  <c r="H281" i="5"/>
  <c r="G581" i="3"/>
  <c r="H233" i="5"/>
  <c r="H191" i="5"/>
  <c r="H189" i="5"/>
  <c r="H187" i="5"/>
  <c r="H185" i="5"/>
  <c r="H183" i="5"/>
  <c r="H181" i="5"/>
  <c r="H179" i="5"/>
  <c r="H177" i="5"/>
  <c r="G555" i="3"/>
  <c r="G550" i="3"/>
  <c r="G363" i="3"/>
  <c r="H607" i="4"/>
  <c r="H1300" i="4"/>
  <c r="H965" i="5"/>
  <c r="G182" i="3"/>
  <c r="H591" i="4"/>
  <c r="H571" i="4"/>
  <c r="H554" i="4"/>
  <c r="G136" i="3"/>
  <c r="H922" i="5"/>
  <c r="H610" i="5"/>
  <c r="H558" i="5"/>
  <c r="G1100" i="3"/>
  <c r="H531" i="4"/>
  <c r="H25" i="6"/>
  <c r="G982" i="3"/>
  <c r="H37" i="6"/>
  <c r="H117" i="5"/>
  <c r="H30" i="6"/>
  <c r="G976" i="3"/>
  <c r="H695" i="5"/>
  <c r="G958" i="3"/>
  <c r="H136" i="5"/>
  <c r="G952" i="3"/>
  <c r="G947" i="3"/>
  <c r="G935" i="3"/>
  <c r="H476" i="4"/>
  <c r="H458" i="4"/>
  <c r="G917" i="3"/>
  <c r="H912" i="5"/>
  <c r="G911" i="3"/>
  <c r="H670" i="5"/>
  <c r="H420" i="4"/>
  <c r="G880" i="3"/>
  <c r="H631" i="5"/>
  <c r="H605" i="5"/>
  <c r="G875" i="3"/>
  <c r="H594" i="5"/>
  <c r="H592" i="5"/>
  <c r="H589" i="5"/>
  <c r="H591" i="5"/>
  <c r="H410" i="4"/>
  <c r="G870" i="3"/>
  <c r="H541" i="5"/>
  <c r="H540" i="5" s="1"/>
  <c r="H399" i="4"/>
  <c r="G858" i="3"/>
  <c r="H391" i="4"/>
  <c r="H58" i="5"/>
  <c r="G799" i="3"/>
  <c r="H44" i="5"/>
  <c r="H370" i="4"/>
  <c r="H369" i="4" s="1"/>
  <c r="H35" i="5"/>
  <c r="H901" i="5"/>
  <c r="G782" i="3"/>
  <c r="H782" i="5"/>
  <c r="G292" i="3"/>
  <c r="H436" i="5"/>
  <c r="H434" i="5"/>
  <c r="H111" i="4"/>
  <c r="G158" i="3"/>
  <c r="G25" i="3"/>
  <c r="H413" i="5"/>
  <c r="H417" i="5"/>
  <c r="H360" i="4"/>
  <c r="G778" i="3"/>
  <c r="H621" i="5"/>
  <c r="G770" i="3"/>
  <c r="G767" i="3"/>
  <c r="H617" i="5"/>
  <c r="G762" i="3"/>
  <c r="H598" i="5"/>
  <c r="H335" i="4"/>
  <c r="G754" i="3"/>
  <c r="H575" i="5"/>
  <c r="H321" i="4"/>
  <c r="G740" i="3"/>
  <c r="H320" i="4"/>
  <c r="H885" i="5"/>
  <c r="G230" i="3"/>
  <c r="H271" i="4"/>
  <c r="H861" i="5"/>
  <c r="H109" i="5"/>
  <c r="G205" i="3"/>
  <c r="H105" i="5"/>
  <c r="G1004" i="3"/>
  <c r="H253" i="4"/>
  <c r="H12" i="6"/>
  <c r="G963" i="3"/>
  <c r="H400" i="5"/>
  <c r="H402" i="5"/>
  <c r="G346" i="3"/>
  <c r="H227" i="4"/>
  <c r="G323" i="3"/>
  <c r="H205" i="4"/>
  <c r="G278" i="3"/>
  <c r="G275" i="3"/>
  <c r="G263" i="3"/>
  <c r="H1302" i="4"/>
  <c r="H982" i="5"/>
  <c r="H928" i="5"/>
  <c r="G199" i="3"/>
  <c r="H139" i="4"/>
  <c r="G191" i="3"/>
  <c r="G187" i="3"/>
  <c r="H119" i="4"/>
  <c r="H423" i="5"/>
  <c r="H425" i="5"/>
  <c r="H102" i="4"/>
  <c r="G98" i="3"/>
  <c r="H420" i="5"/>
  <c r="H422" i="5"/>
  <c r="G94" i="3"/>
  <c r="H408" i="5"/>
  <c r="H410" i="5"/>
  <c r="H98" i="4"/>
  <c r="G85" i="3"/>
  <c r="G80" i="3"/>
  <c r="G65" i="3"/>
  <c r="G59" i="3"/>
  <c r="H55" i="4"/>
  <c r="G123" i="3"/>
  <c r="G122" i="3" s="1"/>
  <c r="H13" i="4"/>
  <c r="H642" i="5"/>
  <c r="G887" i="3"/>
  <c r="I10" i="5"/>
  <c r="I12" i="5"/>
  <c r="I11" i="5" s="1"/>
  <c r="H879" i="4"/>
  <c r="H994" i="4"/>
  <c r="H999" i="4"/>
  <c r="G899" i="15"/>
  <c r="H97" i="4" l="1"/>
  <c r="H177" i="4"/>
  <c r="H871" i="4"/>
  <c r="G435" i="3"/>
  <c r="H1197" i="4"/>
  <c r="G1012" i="3"/>
  <c r="G148" i="3"/>
  <c r="G243" i="3"/>
  <c r="G252" i="3"/>
  <c r="G296" i="3"/>
  <c r="G308" i="3"/>
  <c r="G330" i="3"/>
  <c r="G338" i="3"/>
  <c r="H660" i="5"/>
  <c r="H662" i="5"/>
  <c r="H440" i="5"/>
  <c r="H82" i="5"/>
  <c r="G445" i="3"/>
  <c r="H67" i="5"/>
  <c r="H344" i="5"/>
  <c r="H789" i="5"/>
  <c r="H677" i="5"/>
  <c r="G20" i="3"/>
  <c r="G999" i="3"/>
  <c r="H991" i="5"/>
  <c r="H156" i="4"/>
  <c r="G114" i="3"/>
  <c r="G440" i="3"/>
  <c r="H756" i="5"/>
  <c r="G335" i="3"/>
  <c r="H299" i="4"/>
  <c r="H1090" i="4"/>
  <c r="H699" i="4"/>
  <c r="H698" i="4" s="1"/>
  <c r="G11" i="3"/>
  <c r="H37" i="4"/>
  <c r="H1256" i="4"/>
  <c r="H521" i="5"/>
  <c r="H520" i="5" s="1"/>
  <c r="G831" i="3"/>
  <c r="H790" i="4"/>
  <c r="G402" i="3"/>
  <c r="H798" i="5"/>
  <c r="H800" i="5"/>
  <c r="H1057" i="4"/>
  <c r="H938" i="5"/>
  <c r="H246" i="4"/>
  <c r="G895" i="3"/>
  <c r="H982" i="4"/>
  <c r="H720" i="5"/>
  <c r="H715" i="5" s="1"/>
  <c r="H1209" i="4"/>
  <c r="G674" i="3"/>
  <c r="H75" i="5"/>
  <c r="H17" i="6"/>
  <c r="H127" i="5"/>
  <c r="H39" i="5"/>
  <c r="G792" i="3"/>
  <c r="H655" i="5"/>
  <c r="H617" i="4"/>
  <c r="G283" i="3"/>
  <c r="H435" i="4"/>
  <c r="H506" i="4"/>
  <c r="G476" i="3"/>
  <c r="H712" i="5"/>
  <c r="H708" i="5"/>
  <c r="G342" i="3"/>
  <c r="G694" i="3"/>
  <c r="G906" i="3"/>
  <c r="G994" i="3"/>
  <c r="H88" i="5"/>
  <c r="H95" i="5"/>
  <c r="H834" i="4"/>
  <c r="H810" i="5"/>
  <c r="G212" i="3"/>
  <c r="H623" i="4"/>
  <c r="G113" i="3"/>
  <c r="H1215" i="4"/>
  <c r="G28" i="3"/>
  <c r="G517" i="3"/>
  <c r="H1172" i="4"/>
  <c r="H1147" i="4"/>
  <c r="G496" i="3"/>
  <c r="H1157" i="4"/>
  <c r="G501" i="3"/>
  <c r="G492" i="3"/>
  <c r="G491" i="3"/>
  <c r="H766" i="5"/>
  <c r="H760" i="5"/>
  <c r="H1294" i="4"/>
  <c r="H1094" i="4"/>
  <c r="G425" i="3"/>
  <c r="H838" i="5"/>
  <c r="H825" i="5"/>
  <c r="H818" i="5"/>
  <c r="H803" i="5"/>
  <c r="G370" i="3"/>
  <c r="H1008" i="4"/>
  <c r="H18" i="5"/>
  <c r="G307" i="3"/>
  <c r="G302" i="3"/>
  <c r="H960" i="4"/>
  <c r="G164" i="3"/>
  <c r="H495" i="5"/>
  <c r="H936" i="4"/>
  <c r="G1074" i="3"/>
  <c r="G1057" i="3"/>
  <c r="H490" i="5"/>
  <c r="G1045" i="3"/>
  <c r="H476" i="5"/>
  <c r="H459" i="5"/>
  <c r="G1018" i="3"/>
  <c r="H448" i="5"/>
  <c r="H1291" i="4"/>
  <c r="H513" i="5"/>
  <c r="G818" i="3"/>
  <c r="H829" i="4"/>
  <c r="H264" i="5"/>
  <c r="H376" i="5"/>
  <c r="G734" i="3"/>
  <c r="H218" i="5"/>
  <c r="G706" i="3"/>
  <c r="H160" i="5"/>
  <c r="H896" i="5"/>
  <c r="G686" i="3"/>
  <c r="H354" i="5"/>
  <c r="H335" i="5"/>
  <c r="G666" i="3"/>
  <c r="H322" i="5"/>
  <c r="G662" i="3"/>
  <c r="H315" i="5"/>
  <c r="G658" i="3"/>
  <c r="H308" i="5"/>
  <c r="G651" i="3"/>
  <c r="H246" i="5"/>
  <c r="H209" i="5"/>
  <c r="H205" i="5"/>
  <c r="H201" i="5"/>
  <c r="G619" i="3"/>
  <c r="H196" i="5"/>
  <c r="H155" i="5"/>
  <c r="H891" i="5"/>
  <c r="G604" i="3"/>
  <c r="H368" i="5"/>
  <c r="H355" i="5"/>
  <c r="H328" i="5"/>
  <c r="H299" i="5"/>
  <c r="H272" i="5"/>
  <c r="G577" i="3"/>
  <c r="H232" i="5"/>
  <c r="H188" i="5"/>
  <c r="H184" i="5"/>
  <c r="H180" i="5"/>
  <c r="G554" i="3"/>
  <c r="H176" i="5"/>
  <c r="G354" i="3"/>
  <c r="H606" i="4"/>
  <c r="H964" i="5"/>
  <c r="H590" i="4"/>
  <c r="G49" i="3"/>
  <c r="H570" i="4"/>
  <c r="H553" i="4"/>
  <c r="H609" i="5"/>
  <c r="H530" i="4"/>
  <c r="H557" i="5"/>
  <c r="G1099" i="3"/>
  <c r="H24" i="6"/>
  <c r="H36" i="6"/>
  <c r="G975" i="3"/>
  <c r="H29" i="6"/>
  <c r="H116" i="5"/>
  <c r="G956" i="3"/>
  <c r="H694" i="5"/>
  <c r="H698" i="5"/>
  <c r="H135" i="5"/>
  <c r="G951" i="3"/>
  <c r="G934" i="3"/>
  <c r="H471" i="4"/>
  <c r="G916" i="3"/>
  <c r="G910" i="3"/>
  <c r="H911" i="5"/>
  <c r="H669" i="5"/>
  <c r="G879" i="3"/>
  <c r="H630" i="5"/>
  <c r="H1272" i="4"/>
  <c r="H604" i="5"/>
  <c r="G869" i="3"/>
  <c r="H588" i="5"/>
  <c r="H398" i="4"/>
  <c r="H43" i="5"/>
  <c r="H34" i="5"/>
  <c r="H368" i="4"/>
  <c r="G781" i="3"/>
  <c r="G291" i="3"/>
  <c r="H781" i="5"/>
  <c r="H433" i="5"/>
  <c r="G157" i="3"/>
  <c r="G24" i="3"/>
  <c r="G776" i="3"/>
  <c r="H358" i="4"/>
  <c r="H616" i="5"/>
  <c r="G766" i="3"/>
  <c r="H597" i="5"/>
  <c r="H574" i="5"/>
  <c r="G753" i="3"/>
  <c r="G739" i="3"/>
  <c r="G229" i="3"/>
  <c r="H880" i="5"/>
  <c r="H853" i="5"/>
  <c r="H1297" i="4"/>
  <c r="H261" i="4"/>
  <c r="H260" i="4" s="1"/>
  <c r="G204" i="3"/>
  <c r="H104" i="5"/>
  <c r="G1003" i="3"/>
  <c r="H252" i="4"/>
  <c r="G962" i="3"/>
  <c r="H11" i="6"/>
  <c r="H399" i="5"/>
  <c r="H226" i="4"/>
  <c r="H1263" i="4"/>
  <c r="G322" i="3"/>
  <c r="H204" i="4"/>
  <c r="H183" i="4"/>
  <c r="G269" i="3"/>
  <c r="G262" i="3"/>
  <c r="H182" i="4"/>
  <c r="H981" i="5"/>
  <c r="G190" i="3"/>
  <c r="G181" i="3"/>
  <c r="H118" i="4"/>
  <c r="H419" i="5"/>
  <c r="H1288" i="4"/>
  <c r="H407" i="5"/>
  <c r="G93" i="3"/>
  <c r="H54" i="4"/>
  <c r="G68" i="3"/>
  <c r="H36" i="4"/>
  <c r="G10" i="3"/>
  <c r="H12" i="4"/>
  <c r="G886" i="3"/>
  <c r="H641" i="5"/>
  <c r="H878" i="4"/>
  <c r="H993" i="4"/>
  <c r="H1284" i="4"/>
  <c r="G419" i="4"/>
  <c r="I419" i="4" s="1"/>
  <c r="G545" i="4"/>
  <c r="I545" i="4" s="1"/>
  <c r="H707" i="5" l="1"/>
  <c r="H505" i="4"/>
  <c r="G282" i="3"/>
  <c r="H616" i="4"/>
  <c r="H74" i="5"/>
  <c r="G401" i="3"/>
  <c r="G334" i="3"/>
  <c r="G439" i="3"/>
  <c r="H138" i="4"/>
  <c r="G998" i="3"/>
  <c r="H788" i="5"/>
  <c r="G1011" i="3"/>
  <c r="H870" i="4"/>
  <c r="H176" i="4"/>
  <c r="H1286" i="4"/>
  <c r="H890" i="5"/>
  <c r="H889" i="5" s="1"/>
  <c r="G969" i="3"/>
  <c r="H1056" i="4"/>
  <c r="H1025" i="4" s="1"/>
  <c r="G444" i="3"/>
  <c r="H94" i="5"/>
  <c r="H87" i="5"/>
  <c r="G993" i="3"/>
  <c r="G905" i="3"/>
  <c r="H654" i="5"/>
  <c r="G791" i="3"/>
  <c r="H126" i="5"/>
  <c r="H16" i="6"/>
  <c r="H1208" i="4"/>
  <c r="H981" i="4"/>
  <c r="G894" i="3"/>
  <c r="H1289" i="4"/>
  <c r="H245" i="4"/>
  <c r="H937" i="5"/>
  <c r="H797" i="5"/>
  <c r="H789" i="4"/>
  <c r="H1089" i="4"/>
  <c r="H298" i="4"/>
  <c r="H990" i="5"/>
  <c r="H676" i="5"/>
  <c r="H343" i="5"/>
  <c r="H347" i="5"/>
  <c r="H66" i="5"/>
  <c r="H81" i="5"/>
  <c r="H439" i="5"/>
  <c r="H661" i="5"/>
  <c r="H666" i="5"/>
  <c r="G329" i="3"/>
  <c r="G242" i="3"/>
  <c r="E13" i="2"/>
  <c r="G434" i="3"/>
  <c r="H809" i="5"/>
  <c r="H622" i="4"/>
  <c r="G211" i="3"/>
  <c r="G112" i="3"/>
  <c r="H1214" i="4"/>
  <c r="E10" i="2"/>
  <c r="G516" i="3"/>
  <c r="H1299" i="4"/>
  <c r="H1156" i="4"/>
  <c r="G438" i="3"/>
  <c r="E28" i="2" s="1"/>
  <c r="H765" i="5"/>
  <c r="H755" i="5"/>
  <c r="H714" i="5"/>
  <c r="G400" i="3"/>
  <c r="H837" i="5"/>
  <c r="H1296" i="4"/>
  <c r="H824" i="5"/>
  <c r="H817" i="5"/>
  <c r="H802" i="5"/>
  <c r="H986" i="4"/>
  <c r="H17" i="5"/>
  <c r="G306" i="3"/>
  <c r="G301" i="3"/>
  <c r="H959" i="4"/>
  <c r="H494" i="5"/>
  <c r="H924" i="4"/>
  <c r="G1062" i="3"/>
  <c r="H489" i="5"/>
  <c r="H458" i="5"/>
  <c r="G1017" i="3"/>
  <c r="H447" i="5"/>
  <c r="H512" i="5"/>
  <c r="H877" i="4"/>
  <c r="G817" i="3"/>
  <c r="H828" i="4"/>
  <c r="H263" i="5"/>
  <c r="H375" i="5"/>
  <c r="H217" i="5"/>
  <c r="G705" i="3"/>
  <c r="H148" i="5"/>
  <c r="H334" i="5"/>
  <c r="H321" i="5"/>
  <c r="H314" i="5"/>
  <c r="H307" i="5"/>
  <c r="H245" i="5"/>
  <c r="H192" i="5"/>
  <c r="G614" i="3"/>
  <c r="G603" i="3"/>
  <c r="H367" i="5"/>
  <c r="H327" i="5"/>
  <c r="H333" i="5"/>
  <c r="H271" i="5"/>
  <c r="G549" i="3"/>
  <c r="H231" i="5"/>
  <c r="H175" i="5"/>
  <c r="G353" i="3"/>
  <c r="H605" i="4"/>
  <c r="H963" i="5"/>
  <c r="H589" i="4"/>
  <c r="H569" i="4"/>
  <c r="H552" i="4"/>
  <c r="H551" i="4"/>
  <c r="H608" i="5"/>
  <c r="G1098" i="3"/>
  <c r="H529" i="4"/>
  <c r="H556" i="5"/>
  <c r="H23" i="6"/>
  <c r="H35" i="6"/>
  <c r="H28" i="6"/>
  <c r="H115" i="5"/>
  <c r="H693" i="5"/>
  <c r="G950" i="3"/>
  <c r="H134" i="5"/>
  <c r="H457" i="4"/>
  <c r="G929" i="3"/>
  <c r="H910" i="5"/>
  <c r="H668" i="5"/>
  <c r="H629" i="5"/>
  <c r="H603" i="5"/>
  <c r="H587" i="5"/>
  <c r="H397" i="4"/>
  <c r="H1292" i="4"/>
  <c r="H33" i="5"/>
  <c r="G290" i="3"/>
  <c r="H780" i="5"/>
  <c r="H432" i="5"/>
  <c r="G156" i="3"/>
  <c r="G23" i="3"/>
  <c r="H1293" i="4"/>
  <c r="H319" i="4"/>
  <c r="H318" i="4" s="1"/>
  <c r="H615" i="5"/>
  <c r="H596" i="5"/>
  <c r="H595" i="5"/>
  <c r="H573" i="5"/>
  <c r="G738" i="3"/>
  <c r="G228" i="3"/>
  <c r="H879" i="5"/>
  <c r="H852" i="5"/>
  <c r="H103" i="5"/>
  <c r="G203" i="3"/>
  <c r="H251" i="4"/>
  <c r="H10" i="6"/>
  <c r="E40" i="2"/>
  <c r="H398" i="5"/>
  <c r="G321" i="3"/>
  <c r="H225" i="4"/>
  <c r="H1298" i="4"/>
  <c r="G261" i="3"/>
  <c r="H980" i="5"/>
  <c r="G163" i="3"/>
  <c r="H418" i="5"/>
  <c r="H406" i="5"/>
  <c r="G48" i="3"/>
  <c r="G47" i="3" s="1"/>
  <c r="E11" i="2" s="1"/>
  <c r="H35" i="4"/>
  <c r="H11" i="4"/>
  <c r="G111" i="3"/>
  <c r="H640" i="5"/>
  <c r="G857" i="3"/>
  <c r="D16" i="7"/>
  <c r="H869" i="4"/>
  <c r="G61" i="4"/>
  <c r="I61" i="4" s="1"/>
  <c r="G195" i="4"/>
  <c r="I195" i="4" s="1"/>
  <c r="G147" i="4"/>
  <c r="I147" i="4" s="1"/>
  <c r="G123" i="4"/>
  <c r="I123" i="4" s="1"/>
  <c r="G68" i="4"/>
  <c r="I68" i="4" s="1"/>
  <c r="G59" i="4"/>
  <c r="I59" i="4" s="1"/>
  <c r="G328" i="3" l="1"/>
  <c r="H438" i="5"/>
  <c r="H437" i="5"/>
  <c r="H80" i="5"/>
  <c r="H65" i="5"/>
  <c r="H342" i="5"/>
  <c r="H796" i="5"/>
  <c r="H980" i="4"/>
  <c r="G790" i="3"/>
  <c r="G992" i="3"/>
  <c r="H175" i="4"/>
  <c r="G1010" i="3"/>
  <c r="H787" i="5"/>
  <c r="H73" i="5"/>
  <c r="H615" i="4"/>
  <c r="G433" i="3"/>
  <c r="H989" i="5"/>
  <c r="H936" i="5"/>
  <c r="H1207" i="4"/>
  <c r="H125" i="5"/>
  <c r="H653" i="5"/>
  <c r="G997" i="3"/>
  <c r="H629" i="4"/>
  <c r="G281" i="3"/>
  <c r="H1285" i="4"/>
  <c r="H1304" i="4" s="1"/>
  <c r="H996" i="5" s="1"/>
  <c r="H504" i="4"/>
  <c r="H706" i="5"/>
  <c r="H808" i="5"/>
  <c r="H1213" i="4"/>
  <c r="G500" i="3"/>
  <c r="E29" i="2" s="1"/>
  <c r="H764" i="5"/>
  <c r="H754" i="5"/>
  <c r="H713" i="5"/>
  <c r="H836" i="5"/>
  <c r="H823" i="5"/>
  <c r="H1007" i="4"/>
  <c r="H816" i="5"/>
  <c r="H801" i="5"/>
  <c r="E23" i="2"/>
  <c r="H9" i="5"/>
  <c r="G300" i="3"/>
  <c r="E46" i="2"/>
  <c r="H488" i="5"/>
  <c r="H457" i="5"/>
  <c r="G1016" i="3"/>
  <c r="H446" i="5"/>
  <c r="H1276" i="4"/>
  <c r="H1277" i="4" s="1"/>
  <c r="H511" i="5"/>
  <c r="E35" i="2"/>
  <c r="H374" i="5"/>
  <c r="H340" i="5"/>
  <c r="H320" i="5"/>
  <c r="H313" i="5"/>
  <c r="H306" i="5"/>
  <c r="G613" i="3"/>
  <c r="G548" i="3"/>
  <c r="E31" i="2" s="1"/>
  <c r="H270" i="5"/>
  <c r="H230" i="5"/>
  <c r="H174" i="5"/>
  <c r="G352" i="3"/>
  <c r="H961" i="5"/>
  <c r="H962" i="5"/>
  <c r="H568" i="4"/>
  <c r="H567" i="4" s="1"/>
  <c r="H519" i="5"/>
  <c r="H528" i="4"/>
  <c r="G1097" i="3"/>
  <c r="H22" i="6"/>
  <c r="H34" i="6"/>
  <c r="H114" i="5"/>
  <c r="H675" i="5"/>
  <c r="G915" i="3"/>
  <c r="E38" i="2" s="1"/>
  <c r="H667" i="5"/>
  <c r="H602" i="5"/>
  <c r="H586" i="5"/>
  <c r="H396" i="4"/>
  <c r="H32" i="5"/>
  <c r="H31" i="5"/>
  <c r="E21" i="2"/>
  <c r="H779" i="5"/>
  <c r="H431" i="5"/>
  <c r="E14" i="2"/>
  <c r="G9" i="3"/>
  <c r="H614" i="5"/>
  <c r="G704" i="3"/>
  <c r="H878" i="5"/>
  <c r="H851" i="5"/>
  <c r="G202" i="3"/>
  <c r="H102" i="5"/>
  <c r="H238" i="4"/>
  <c r="H15" i="6"/>
  <c r="H397" i="5"/>
  <c r="G320" i="3"/>
  <c r="H214" i="4"/>
  <c r="G260" i="3"/>
  <c r="H979" i="5"/>
  <c r="H412" i="5"/>
  <c r="H404" i="5"/>
  <c r="H405" i="5"/>
  <c r="E9" i="2"/>
  <c r="H34" i="4"/>
  <c r="H10" i="4"/>
  <c r="E12" i="2"/>
  <c r="G856" i="3"/>
  <c r="H639" i="5"/>
  <c r="E52" i="2"/>
  <c r="G74" i="4"/>
  <c r="I74" i="4" s="1"/>
  <c r="G1187" i="4"/>
  <c r="I1187" i="4" s="1"/>
  <c r="G940" i="4"/>
  <c r="I940" i="4" s="1"/>
  <c r="G929" i="4"/>
  <c r="I929" i="4" s="1"/>
  <c r="G703" i="4"/>
  <c r="I703" i="4" s="1"/>
  <c r="G860" i="4"/>
  <c r="I860" i="4" s="1"/>
  <c r="G628" i="4"/>
  <c r="I628" i="4" s="1"/>
  <c r="G762" i="4"/>
  <c r="I762" i="4" s="1"/>
  <c r="G729" i="4"/>
  <c r="I729" i="4" s="1"/>
  <c r="G732" i="4"/>
  <c r="I732" i="4" s="1"/>
  <c r="G833" i="4"/>
  <c r="I833" i="4" s="1"/>
  <c r="G770" i="4"/>
  <c r="I770" i="4" s="1"/>
  <c r="H503" i="4" l="1"/>
  <c r="H621" i="4"/>
  <c r="H124" i="5"/>
  <c r="H1206" i="4"/>
  <c r="H935" i="5"/>
  <c r="H988" i="5"/>
  <c r="H1275" i="4"/>
  <c r="H72" i="5"/>
  <c r="H786" i="5"/>
  <c r="G1002" i="3"/>
  <c r="H979" i="4"/>
  <c r="H795" i="5"/>
  <c r="H341" i="5"/>
  <c r="H64" i="5"/>
  <c r="G369" i="3"/>
  <c r="E27" i="2" s="1"/>
  <c r="H1267" i="4"/>
  <c r="E42" i="2"/>
  <c r="H1257" i="4"/>
  <c r="G968" i="3"/>
  <c r="G789" i="3"/>
  <c r="H753" i="5"/>
  <c r="H1264" i="4"/>
  <c r="H822" i="5"/>
  <c r="H815" i="5"/>
  <c r="E22" i="2"/>
  <c r="H487" i="5"/>
  <c r="G1015" i="3"/>
  <c r="E45" i="2"/>
  <c r="H517" i="5"/>
  <c r="E32" i="2"/>
  <c r="H173" i="5"/>
  <c r="G351" i="3"/>
  <c r="E26" i="2"/>
  <c r="H968" i="5"/>
  <c r="H259" i="4"/>
  <c r="G1096" i="3"/>
  <c r="E48" i="2"/>
  <c r="H1279" i="4"/>
  <c r="H46" i="6"/>
  <c r="H113" i="5"/>
  <c r="H674" i="5"/>
  <c r="H572" i="5"/>
  <c r="H518" i="5" s="1"/>
  <c r="H1270" i="4"/>
  <c r="H1271" i="4" s="1"/>
  <c r="H778" i="5"/>
  <c r="H430" i="5"/>
  <c r="G547" i="3"/>
  <c r="E33" i="2"/>
  <c r="H877" i="5"/>
  <c r="H850" i="5"/>
  <c r="G162" i="3"/>
  <c r="G8" i="3" s="1"/>
  <c r="H101" i="5"/>
  <c r="H396" i="5"/>
  <c r="H395" i="5"/>
  <c r="E24" i="2"/>
  <c r="G289" i="3"/>
  <c r="H1261" i="4"/>
  <c r="H1262" i="4" s="1"/>
  <c r="G259" i="3"/>
  <c r="E19" i="2"/>
  <c r="H977" i="5"/>
  <c r="H978" i="5"/>
  <c r="H411" i="5"/>
  <c r="H33" i="4"/>
  <c r="H9" i="4"/>
  <c r="H1254" i="4"/>
  <c r="E37" i="2"/>
  <c r="G855" i="3"/>
  <c r="G576" i="4"/>
  <c r="I576" i="4" s="1"/>
  <c r="G578" i="4"/>
  <c r="I578" i="4" s="1"/>
  <c r="G566" i="4"/>
  <c r="I566" i="4" s="1"/>
  <c r="G479" i="4"/>
  <c r="I479" i="4" s="1"/>
  <c r="G462" i="4"/>
  <c r="I462" i="4" s="1"/>
  <c r="G404" i="4"/>
  <c r="I404" i="4" s="1"/>
  <c r="G326" i="4"/>
  <c r="I326" i="4" s="1"/>
  <c r="G48" i="4"/>
  <c r="I48" i="4" s="1"/>
  <c r="E41" i="2" l="1"/>
  <c r="G961" i="3"/>
  <c r="E43" i="2"/>
  <c r="H987" i="5"/>
  <c r="H1205" i="4"/>
  <c r="H445" i="5"/>
  <c r="E34" i="2"/>
  <c r="H71" i="5"/>
  <c r="H794" i="5"/>
  <c r="H1258" i="4"/>
  <c r="H1259" i="4" s="1"/>
  <c r="H705" i="5"/>
  <c r="H793" i="5"/>
  <c r="E44" i="2"/>
  <c r="H147" i="5"/>
  <c r="E25" i="2"/>
  <c r="E47" i="2"/>
  <c r="E30" i="2"/>
  <c r="H30" i="5"/>
  <c r="E15" i="2"/>
  <c r="E20" i="2"/>
  <c r="E18" i="2"/>
  <c r="H403" i="5"/>
  <c r="H1255" i="4"/>
  <c r="E36" i="2"/>
  <c r="G1118" i="3"/>
  <c r="G16" i="4"/>
  <c r="I16" i="4" s="1"/>
  <c r="H958" i="4" l="1"/>
  <c r="H1273" i="4"/>
  <c r="H986" i="5"/>
  <c r="E39" i="2"/>
  <c r="E8" i="2"/>
  <c r="H994" i="5"/>
  <c r="F135" i="3"/>
  <c r="F134" i="3" l="1"/>
  <c r="H135" i="3"/>
  <c r="H1245" i="4"/>
  <c r="H1274" i="4"/>
  <c r="H1280" i="4"/>
  <c r="E49" i="2"/>
  <c r="H997" i="5"/>
  <c r="G1179" i="4"/>
  <c r="I1179" i="4" s="1"/>
  <c r="H899" i="15"/>
  <c r="F133" i="3" l="1"/>
  <c r="H133" i="3" s="1"/>
  <c r="H134" i="3"/>
  <c r="D17" i="7"/>
  <c r="D18" i="7" s="1"/>
  <c r="D12" i="7" s="1"/>
  <c r="E54" i="2"/>
  <c r="E55" i="2" s="1"/>
  <c r="E50" i="2"/>
  <c r="E51" i="2" s="1"/>
  <c r="H1251" i="4"/>
  <c r="G1119" i="3"/>
  <c r="G1120" i="3" s="1"/>
  <c r="E53" i="2"/>
  <c r="G1193" i="4"/>
  <c r="I1193" i="4" s="1"/>
  <c r="G975" i="4"/>
  <c r="I975" i="4" s="1"/>
  <c r="G968" i="4"/>
  <c r="I968" i="4" s="1"/>
  <c r="G1108" i="4"/>
  <c r="I1108" i="4" s="1"/>
  <c r="D11" i="7" l="1"/>
  <c r="D8" i="7" s="1"/>
  <c r="D13" i="7"/>
  <c r="D22" i="7" s="1"/>
  <c r="G402" i="4"/>
  <c r="I402" i="4" s="1"/>
  <c r="G409" i="4"/>
  <c r="I409" i="4" s="1"/>
  <c r="G483" i="4"/>
  <c r="G481" i="4"/>
  <c r="I481" i="4" s="1"/>
  <c r="G536" i="4"/>
  <c r="I536" i="4" s="1"/>
  <c r="G534" i="4"/>
  <c r="I534" i="4" s="1"/>
  <c r="G347" i="4"/>
  <c r="I347" i="4" s="1"/>
  <c r="F941" i="3" l="1"/>
  <c r="I483" i="4"/>
  <c r="F940" i="3" l="1"/>
  <c r="H940" i="3" s="1"/>
  <c r="H941" i="3"/>
  <c r="G482" i="4"/>
  <c r="I482" i="4" s="1"/>
  <c r="G324" i="4"/>
  <c r="I324" i="4" s="1"/>
  <c r="G334" i="4"/>
  <c r="I334" i="4" s="1"/>
  <c r="G635" i="4"/>
  <c r="I635" i="4" s="1"/>
  <c r="G250" i="4"/>
  <c r="I250" i="4" s="1"/>
  <c r="G237" i="4"/>
  <c r="I237" i="4" s="1"/>
  <c r="G191" i="4"/>
  <c r="I191" i="4" s="1"/>
  <c r="G149" i="4"/>
  <c r="I149" i="4" s="1"/>
  <c r="G169" i="4"/>
  <c r="I169" i="4" s="1"/>
  <c r="G160" i="4"/>
  <c r="I160" i="4" s="1"/>
  <c r="G174" i="4"/>
  <c r="I174" i="4" s="1"/>
  <c r="G65" i="4"/>
  <c r="I65" i="4" s="1"/>
  <c r="G42" i="4"/>
  <c r="I42" i="4" s="1"/>
  <c r="G665" i="4"/>
  <c r="I665" i="4" s="1"/>
  <c r="G1036" i="4" l="1"/>
  <c r="I1036" i="4" s="1"/>
  <c r="G1030" i="4" l="1"/>
  <c r="I1030" i="4" s="1"/>
  <c r="G883" i="4" l="1"/>
  <c r="I883" i="4" s="1"/>
  <c r="F462" i="14" l="1"/>
  <c r="G339" i="14"/>
  <c r="H339" i="14"/>
  <c r="I339" i="14"/>
  <c r="J339" i="14"/>
  <c r="F904" i="14"/>
  <c r="F903" i="14" s="1"/>
  <c r="F894" i="14"/>
  <c r="F893" i="14" s="1"/>
  <c r="F386" i="14"/>
  <c r="F385" i="14" s="1"/>
  <c r="F378" i="14"/>
  <c r="F377" i="14" s="1"/>
  <c r="F374" i="14"/>
  <c r="F373" i="14" s="1"/>
  <c r="F366" i="14"/>
  <c r="F365" i="14" s="1"/>
  <c r="F344" i="14"/>
  <c r="F343" i="14" s="1"/>
  <c r="F39" i="14"/>
  <c r="F36" i="14"/>
  <c r="F34" i="14"/>
  <c r="G379" i="5"/>
  <c r="G167" i="5"/>
  <c r="G455" i="5"/>
  <c r="G570" i="5"/>
  <c r="G534" i="5"/>
  <c r="G848" i="5"/>
  <c r="G984" i="5"/>
  <c r="I984" i="5" s="1"/>
  <c r="G985" i="5"/>
  <c r="I985" i="5" s="1"/>
  <c r="F251" i="3"/>
  <c r="H251" i="3" s="1"/>
  <c r="F176" i="3"/>
  <c r="H176" i="3" s="1"/>
  <c r="F174" i="3"/>
  <c r="F177" i="3"/>
  <c r="H177" i="3" s="1"/>
  <c r="G849" i="5" l="1"/>
  <c r="I849" i="5" s="1"/>
  <c r="I848" i="5"/>
  <c r="G571" i="5"/>
  <c r="I571" i="5" s="1"/>
  <c r="I570" i="5"/>
  <c r="G168" i="5"/>
  <c r="I168" i="5" s="1"/>
  <c r="I167" i="5"/>
  <c r="F173" i="3"/>
  <c r="H173" i="3" s="1"/>
  <c r="H174" i="3"/>
  <c r="G533" i="5"/>
  <c r="I534" i="5"/>
  <c r="G456" i="5"/>
  <c r="I456" i="5" s="1"/>
  <c r="I455" i="5"/>
  <c r="G380" i="5"/>
  <c r="I380" i="5" s="1"/>
  <c r="I379" i="5"/>
  <c r="F175" i="3"/>
  <c r="H175" i="3" s="1"/>
  <c r="G378" i="5"/>
  <c r="G569" i="5"/>
  <c r="G166" i="5"/>
  <c r="G535" i="5"/>
  <c r="I535" i="5" s="1"/>
  <c r="G454" i="5"/>
  <c r="G847" i="5"/>
  <c r="G846" i="5" l="1"/>
  <c r="I847" i="5"/>
  <c r="G568" i="5"/>
  <c r="I568" i="5" s="1"/>
  <c r="I569" i="5"/>
  <c r="G532" i="5"/>
  <c r="I532" i="5" s="1"/>
  <c r="I533" i="5"/>
  <c r="G453" i="5"/>
  <c r="I453" i="5" s="1"/>
  <c r="I454" i="5"/>
  <c r="G165" i="5"/>
  <c r="I165" i="5" s="1"/>
  <c r="I166" i="5"/>
  <c r="G377" i="5"/>
  <c r="I378" i="5"/>
  <c r="AM1260" i="4"/>
  <c r="AH1259" i="4"/>
  <c r="AH1258" i="4"/>
  <c r="S1249" i="4"/>
  <c r="R1249" i="4"/>
  <c r="L1249" i="4"/>
  <c r="L1248" i="4"/>
  <c r="H1266" i="4" l="1"/>
  <c r="G376" i="5"/>
  <c r="I377" i="5"/>
  <c r="G845" i="5"/>
  <c r="I846" i="5"/>
  <c r="F189" i="3"/>
  <c r="H189" i="3" s="1"/>
  <c r="F1112" i="3"/>
  <c r="F1088" i="3"/>
  <c r="F1073" i="3"/>
  <c r="F1024" i="3"/>
  <c r="F949" i="3"/>
  <c r="F928" i="3"/>
  <c r="F904" i="3"/>
  <c r="H904" i="3" s="1"/>
  <c r="F854" i="3"/>
  <c r="F830" i="3"/>
  <c r="F737" i="3"/>
  <c r="F712" i="3"/>
  <c r="F749" i="3"/>
  <c r="F546" i="3"/>
  <c r="F515" i="3"/>
  <c r="F432" i="3"/>
  <c r="F280" i="3"/>
  <c r="F180" i="3"/>
  <c r="F201" i="3"/>
  <c r="F147" i="3"/>
  <c r="F67" i="3"/>
  <c r="F46" i="3"/>
  <c r="F22" i="3"/>
  <c r="G706" i="15"/>
  <c r="G53" i="4"/>
  <c r="I53" i="4" s="1"/>
  <c r="F21" i="3" l="1"/>
  <c r="H22" i="3"/>
  <c r="F66" i="3"/>
  <c r="H67" i="3"/>
  <c r="F200" i="3"/>
  <c r="H201" i="3"/>
  <c r="F279" i="3"/>
  <c r="H280" i="3"/>
  <c r="F514" i="3"/>
  <c r="H515" i="3"/>
  <c r="F748" i="3"/>
  <c r="H749" i="3"/>
  <c r="F736" i="3"/>
  <c r="H737" i="3"/>
  <c r="F853" i="3"/>
  <c r="H854" i="3"/>
  <c r="F927" i="3"/>
  <c r="H928" i="3"/>
  <c r="F1023" i="3"/>
  <c r="H1024" i="3"/>
  <c r="F1087" i="3"/>
  <c r="H1088" i="3"/>
  <c r="G844" i="5"/>
  <c r="I845" i="5"/>
  <c r="G375" i="5"/>
  <c r="I376" i="5"/>
  <c r="H1265" i="4"/>
  <c r="F45" i="3"/>
  <c r="H46" i="3"/>
  <c r="F146" i="3"/>
  <c r="H147" i="3"/>
  <c r="F179" i="3"/>
  <c r="H180" i="3"/>
  <c r="F431" i="3"/>
  <c r="H432" i="3"/>
  <c r="F545" i="3"/>
  <c r="H546" i="3"/>
  <c r="F711" i="3"/>
  <c r="H712" i="3"/>
  <c r="F829" i="3"/>
  <c r="H830" i="3"/>
  <c r="F948" i="3"/>
  <c r="H949" i="3"/>
  <c r="F1072" i="3"/>
  <c r="H1073" i="3"/>
  <c r="F1111" i="3"/>
  <c r="H1112" i="3"/>
  <c r="G396" i="15"/>
  <c r="H396" i="15"/>
  <c r="H76" i="15"/>
  <c r="G76" i="15"/>
  <c r="H871" i="15"/>
  <c r="G871" i="15"/>
  <c r="G904" i="15"/>
  <c r="G903" i="15" s="1"/>
  <c r="G1081" i="15"/>
  <c r="G1080" i="15" s="1"/>
  <c r="G1022" i="15"/>
  <c r="G1021" i="15" s="1"/>
  <c r="G934" i="15"/>
  <c r="G933" i="15" s="1"/>
  <c r="G946" i="15"/>
  <c r="G945" i="15" s="1"/>
  <c r="G938" i="15"/>
  <c r="G937" i="15" s="1"/>
  <c r="G926" i="15"/>
  <c r="G925" i="15" s="1"/>
  <c r="G879" i="15"/>
  <c r="G878" i="15" s="1"/>
  <c r="G784" i="15"/>
  <c r="G783" i="15" s="1"/>
  <c r="G773" i="15"/>
  <c r="G772" i="15" s="1"/>
  <c r="G649" i="15"/>
  <c r="G648" i="15" s="1"/>
  <c r="G642" i="15"/>
  <c r="G641" i="15" s="1"/>
  <c r="G646" i="15"/>
  <c r="G639" i="15"/>
  <c r="G638" i="15" s="1"/>
  <c r="G570" i="15"/>
  <c r="G569" i="15" s="1"/>
  <c r="G573" i="15"/>
  <c r="G572" i="15" s="1"/>
  <c r="G374" i="5" l="1"/>
  <c r="I374" i="5" s="1"/>
  <c r="I375" i="5"/>
  <c r="G843" i="5"/>
  <c r="I843" i="5" s="1"/>
  <c r="I844" i="5"/>
  <c r="F1086" i="3"/>
  <c r="H1086" i="3" s="1"/>
  <c r="H1087" i="3"/>
  <c r="F1022" i="3"/>
  <c r="H1022" i="3" s="1"/>
  <c r="H1023" i="3"/>
  <c r="F926" i="3"/>
  <c r="H926" i="3" s="1"/>
  <c r="H927" i="3"/>
  <c r="F852" i="3"/>
  <c r="H852" i="3" s="1"/>
  <c r="H853" i="3"/>
  <c r="F735" i="3"/>
  <c r="H736" i="3"/>
  <c r="F747" i="3"/>
  <c r="H747" i="3" s="1"/>
  <c r="H748" i="3"/>
  <c r="F513" i="3"/>
  <c r="H513" i="3" s="1"/>
  <c r="H514" i="3"/>
  <c r="F278" i="3"/>
  <c r="H278" i="3" s="1"/>
  <c r="H279" i="3"/>
  <c r="F199" i="3"/>
  <c r="H199" i="3" s="1"/>
  <c r="H200" i="3"/>
  <c r="F65" i="3"/>
  <c r="H65" i="3" s="1"/>
  <c r="H66" i="3"/>
  <c r="F20" i="3"/>
  <c r="H20" i="3" s="1"/>
  <c r="H21" i="3"/>
  <c r="F1110" i="3"/>
  <c r="H1110" i="3" s="1"/>
  <c r="H1111" i="3"/>
  <c r="F1071" i="3"/>
  <c r="H1071" i="3" s="1"/>
  <c r="H1072" i="3"/>
  <c r="F947" i="3"/>
  <c r="H947" i="3" s="1"/>
  <c r="H948" i="3"/>
  <c r="F828" i="3"/>
  <c r="H828" i="3" s="1"/>
  <c r="H829" i="3"/>
  <c r="F710" i="3"/>
  <c r="H710" i="3" s="1"/>
  <c r="H711" i="3"/>
  <c r="F544" i="3"/>
  <c r="H544" i="3" s="1"/>
  <c r="H545" i="3"/>
  <c r="F430" i="3"/>
  <c r="H431" i="3"/>
  <c r="F178" i="3"/>
  <c r="H178" i="3" s="1"/>
  <c r="H179" i="3"/>
  <c r="F145" i="3"/>
  <c r="H145" i="3" s="1"/>
  <c r="H146" i="3"/>
  <c r="F44" i="3"/>
  <c r="H44" i="3" s="1"/>
  <c r="H45" i="3"/>
  <c r="G594" i="4"/>
  <c r="I594" i="4" s="1"/>
  <c r="F429" i="3" l="1"/>
  <c r="H429" i="3" s="1"/>
  <c r="H430" i="3"/>
  <c r="F734" i="3"/>
  <c r="H734" i="3" s="1"/>
  <c r="H735" i="3"/>
  <c r="G515" i="4"/>
  <c r="I515" i="4" s="1"/>
  <c r="G267" i="4"/>
  <c r="I267" i="4" s="1"/>
  <c r="G523" i="4"/>
  <c r="I523" i="4" s="1"/>
  <c r="G497" i="4"/>
  <c r="I497" i="4" s="1"/>
  <c r="G527" i="4"/>
  <c r="I527" i="4" s="1"/>
  <c r="G40" i="4"/>
  <c r="I40" i="4" s="1"/>
  <c r="G735" i="4"/>
  <c r="I735" i="4" s="1"/>
  <c r="G742" i="4"/>
  <c r="I742" i="4" s="1"/>
  <c r="G84" i="4" l="1"/>
  <c r="I84" i="4" s="1"/>
  <c r="G854" i="4" l="1"/>
  <c r="I854" i="4" s="1"/>
  <c r="G858" i="4"/>
  <c r="I858" i="4" s="1"/>
  <c r="G839" i="4"/>
  <c r="I839" i="4" s="1"/>
  <c r="G794" i="4"/>
  <c r="I794" i="4" s="1"/>
  <c r="G652" i="4"/>
  <c r="I652" i="4" s="1"/>
  <c r="G668" i="4"/>
  <c r="I668" i="4" s="1"/>
  <c r="G658" i="4"/>
  <c r="I658" i="4" s="1"/>
  <c r="G1225" i="4"/>
  <c r="I1225" i="4" s="1"/>
  <c r="G1220" i="4"/>
  <c r="I1220" i="4" s="1"/>
  <c r="G970" i="4" l="1"/>
  <c r="I970" i="4" s="1"/>
  <c r="G1191" i="4"/>
  <c r="I1191" i="4" s="1"/>
  <c r="G1161" i="4"/>
  <c r="I1161" i="4" s="1"/>
  <c r="G1004" i="4"/>
  <c r="I1004" i="4" s="1"/>
  <c r="G923" i="4"/>
  <c r="I923" i="4" s="1"/>
  <c r="G906" i="4"/>
  <c r="I906" i="4" s="1"/>
  <c r="G932" i="4"/>
  <c r="I932" i="4" s="1"/>
  <c r="G1232" i="4" l="1"/>
  <c r="G1170" i="4"/>
  <c r="G1203" i="4"/>
  <c r="G949" i="4"/>
  <c r="G934" i="4"/>
  <c r="G846" i="4"/>
  <c r="G867" i="4"/>
  <c r="G587" i="4"/>
  <c r="G565" i="4"/>
  <c r="G469" i="4"/>
  <c r="G490" i="4"/>
  <c r="G202" i="4"/>
  <c r="G154" i="4"/>
  <c r="G136" i="4"/>
  <c r="G73" i="4"/>
  <c r="G47" i="4"/>
  <c r="G72" i="4" l="1"/>
  <c r="I72" i="4" s="1"/>
  <c r="I73" i="4"/>
  <c r="G153" i="4"/>
  <c r="I153" i="4" s="1"/>
  <c r="I154" i="4"/>
  <c r="G489" i="4"/>
  <c r="I489" i="4" s="1"/>
  <c r="I490" i="4"/>
  <c r="G564" i="4"/>
  <c r="I564" i="4" s="1"/>
  <c r="I565" i="4"/>
  <c r="G866" i="4"/>
  <c r="I866" i="4" s="1"/>
  <c r="I867" i="4"/>
  <c r="G933" i="4"/>
  <c r="I933" i="4" s="1"/>
  <c r="I934" i="4"/>
  <c r="G1202" i="4"/>
  <c r="I1202" i="4" s="1"/>
  <c r="I1203" i="4"/>
  <c r="G1231" i="4"/>
  <c r="I1231" i="4" s="1"/>
  <c r="I1232" i="4"/>
  <c r="G46" i="4"/>
  <c r="I46" i="4" s="1"/>
  <c r="I47" i="4"/>
  <c r="G135" i="4"/>
  <c r="I135" i="4" s="1"/>
  <c r="I136" i="4"/>
  <c r="G201" i="4"/>
  <c r="I201" i="4" s="1"/>
  <c r="I202" i="4"/>
  <c r="G468" i="4"/>
  <c r="I468" i="4" s="1"/>
  <c r="I469" i="4"/>
  <c r="G586" i="4"/>
  <c r="I586" i="4" s="1"/>
  <c r="I587" i="4"/>
  <c r="G845" i="4"/>
  <c r="I845" i="4" s="1"/>
  <c r="I846" i="4"/>
  <c r="G948" i="4"/>
  <c r="I948" i="4" s="1"/>
  <c r="I949" i="4"/>
  <c r="G1169" i="4"/>
  <c r="I1169" i="4" s="1"/>
  <c r="I1170" i="4"/>
  <c r="G25" i="4"/>
  <c r="G24" i="4" l="1"/>
  <c r="I24" i="4" s="1"/>
  <c r="I25" i="4"/>
  <c r="G893" i="4"/>
  <c r="I893" i="4" s="1"/>
  <c r="G381" i="4" l="1"/>
  <c r="I381" i="4" s="1"/>
  <c r="G517" i="4" l="1"/>
  <c r="I517" i="4" s="1"/>
  <c r="G1024" i="4"/>
  <c r="I1024" i="4" s="1"/>
  <c r="G1239" i="4" l="1"/>
  <c r="I1239" i="4" s="1"/>
  <c r="G1165" i="4" l="1"/>
  <c r="I1165" i="4" s="1"/>
  <c r="G563" i="4"/>
  <c r="G560" i="4"/>
  <c r="G558" i="4"/>
  <c r="F141" i="3" l="1"/>
  <c r="I560" i="4"/>
  <c r="F139" i="3"/>
  <c r="I558" i="4"/>
  <c r="F144" i="3"/>
  <c r="I563" i="4"/>
  <c r="G596" i="4"/>
  <c r="I596" i="4" s="1"/>
  <c r="F143" i="3" l="1"/>
  <c r="H144" i="3"/>
  <c r="F138" i="3"/>
  <c r="H139" i="3"/>
  <c r="F140" i="3"/>
  <c r="H140" i="3" s="1"/>
  <c r="H141" i="3"/>
  <c r="G296" i="4"/>
  <c r="G295" i="4" l="1"/>
  <c r="I295" i="4" s="1"/>
  <c r="I296" i="4"/>
  <c r="H138" i="3"/>
  <c r="F137" i="3"/>
  <c r="F142" i="3"/>
  <c r="H142" i="3" s="1"/>
  <c r="H143" i="3"/>
  <c r="G294" i="4"/>
  <c r="I294" i="4" s="1"/>
  <c r="G18" i="4"/>
  <c r="I18" i="4" s="1"/>
  <c r="G20" i="4"/>
  <c r="I20" i="4" s="1"/>
  <c r="G293" i="4" l="1"/>
  <c r="I293" i="4" s="1"/>
  <c r="F136" i="3"/>
  <c r="H136" i="3" s="1"/>
  <c r="H137" i="3"/>
  <c r="G244" i="4"/>
  <c r="I244" i="4" s="1"/>
  <c r="G800" i="4" l="1"/>
  <c r="I800" i="4" s="1"/>
  <c r="G604" i="4"/>
  <c r="I604" i="4" s="1"/>
  <c r="G415" i="4" l="1"/>
  <c r="I415" i="4" s="1"/>
  <c r="H28" i="25" l="1"/>
  <c r="H27" i="25"/>
  <c r="G977" i="4" l="1"/>
  <c r="H24" i="25"/>
  <c r="H21" i="25"/>
  <c r="H18" i="25"/>
  <c r="G885" i="4"/>
  <c r="H15" i="25"/>
  <c r="H12" i="25"/>
  <c r="H9" i="25"/>
  <c r="H6" i="25"/>
  <c r="G796" i="4"/>
  <c r="G540" i="4"/>
  <c r="G539" i="4" l="1"/>
  <c r="I539" i="4" s="1"/>
  <c r="I540" i="4"/>
  <c r="G884" i="4"/>
  <c r="I884" i="4" s="1"/>
  <c r="I885" i="4"/>
  <c r="G976" i="4"/>
  <c r="I976" i="4" s="1"/>
  <c r="I977" i="4"/>
  <c r="G795" i="4"/>
  <c r="I795" i="4" s="1"/>
  <c r="I796" i="4"/>
  <c r="I18" i="25"/>
  <c r="H25" i="25"/>
  <c r="G581" i="4"/>
  <c r="I581" i="4" s="1"/>
  <c r="G330" i="4" l="1"/>
  <c r="G329" i="4" l="1"/>
  <c r="I329" i="4" s="1"/>
  <c r="I330" i="4"/>
  <c r="G965" i="4"/>
  <c r="I965" i="4" s="1"/>
  <c r="G105" i="4"/>
  <c r="I105" i="4" s="1"/>
  <c r="G126" i="4"/>
  <c r="I126" i="4" s="1"/>
  <c r="G71" i="4"/>
  <c r="I71" i="4" s="1"/>
  <c r="G1142" i="4"/>
  <c r="I1142" i="4" s="1"/>
  <c r="G1042" i="4" l="1"/>
  <c r="I1042" i="4" s="1"/>
  <c r="G942" i="4" l="1"/>
  <c r="I942" i="4" s="1"/>
  <c r="G944" i="4"/>
  <c r="I944" i="4" s="1"/>
  <c r="G766" i="4"/>
  <c r="I766" i="4" s="1"/>
  <c r="G707" i="4"/>
  <c r="I707" i="4" s="1"/>
  <c r="G683" i="4"/>
  <c r="I683" i="4" s="1"/>
  <c r="G713" i="4"/>
  <c r="I713" i="4" s="1"/>
  <c r="G648" i="4"/>
  <c r="I648" i="4" s="1"/>
  <c r="G383" i="4" l="1"/>
  <c r="I383" i="4" s="1"/>
  <c r="G413" i="4"/>
  <c r="I413" i="4" s="1"/>
  <c r="G778" i="4"/>
  <c r="I778" i="4" s="1"/>
  <c r="G1087" i="4" l="1"/>
  <c r="G1086" i="4" l="1"/>
  <c r="I1087" i="4"/>
  <c r="G559" i="4"/>
  <c r="I559" i="4" s="1"/>
  <c r="G557" i="4"/>
  <c r="I557" i="4" s="1"/>
  <c r="G1085" i="4" l="1"/>
  <c r="I1085" i="4" s="1"/>
  <c r="I1086" i="4"/>
  <c r="G556" i="4"/>
  <c r="I556" i="4" s="1"/>
  <c r="G774" i="4"/>
  <c r="I774" i="4" s="1"/>
  <c r="G844" i="4" l="1"/>
  <c r="I844" i="4" s="1"/>
  <c r="G456" i="4"/>
  <c r="I456" i="4" s="1"/>
  <c r="G386" i="4" l="1"/>
  <c r="I386" i="4" s="1"/>
  <c r="G385" i="4" l="1"/>
  <c r="G55" i="5"/>
  <c r="I55" i="5" s="1"/>
  <c r="F807" i="3"/>
  <c r="G1002" i="4"/>
  <c r="I1002" i="4" s="1"/>
  <c r="F806" i="3" l="1"/>
  <c r="H807" i="3"/>
  <c r="G384" i="4"/>
  <c r="I384" i="4" s="1"/>
  <c r="I385" i="4"/>
  <c r="G54" i="5"/>
  <c r="G56" i="5"/>
  <c r="I56" i="5" s="1"/>
  <c r="G53" i="5" l="1"/>
  <c r="I53" i="5" s="1"/>
  <c r="I54" i="5"/>
  <c r="F805" i="3"/>
  <c r="H805" i="3" s="1"/>
  <c r="H806" i="3"/>
  <c r="G1244" i="4"/>
  <c r="I1244" i="4" s="1"/>
  <c r="G710" i="4" l="1"/>
  <c r="I710" i="4" s="1"/>
  <c r="G719" i="4"/>
  <c r="I719" i="4" s="1"/>
  <c r="G716" i="4"/>
  <c r="I716" i="4" s="1"/>
  <c r="G406" i="4" l="1"/>
  <c r="I406" i="4" s="1"/>
  <c r="G467" i="4"/>
  <c r="I467" i="4" s="1"/>
  <c r="G374" i="4"/>
  <c r="I374" i="4" s="1"/>
  <c r="G485" i="4"/>
  <c r="I485" i="4" s="1"/>
  <c r="G488" i="4" l="1"/>
  <c r="I488" i="4" s="1"/>
  <c r="G821" i="4" l="1"/>
  <c r="G818" i="4"/>
  <c r="I818" i="4" s="1"/>
  <c r="G1163" i="4"/>
  <c r="I1163" i="4" s="1"/>
  <c r="G973" i="4"/>
  <c r="I973" i="4" s="1"/>
  <c r="G1099" i="4"/>
  <c r="I1099" i="4" s="1"/>
  <c r="G1212" i="4"/>
  <c r="I1212" i="4" s="1"/>
  <c r="G1111" i="4"/>
  <c r="I1111" i="4" s="1"/>
  <c r="G1241" i="4"/>
  <c r="I1241" i="4" s="1"/>
  <c r="G820" i="4" l="1"/>
  <c r="I821" i="4"/>
  <c r="G538" i="4"/>
  <c r="I538" i="4" s="1"/>
  <c r="G367" i="4"/>
  <c r="I367" i="4" s="1"/>
  <c r="G328" i="4"/>
  <c r="I328" i="4" s="1"/>
  <c r="G819" i="4" l="1"/>
  <c r="I819" i="4" s="1"/>
  <c r="I820" i="4"/>
  <c r="G23" i="4"/>
  <c r="I23" i="4" s="1"/>
  <c r="G1013" i="4"/>
  <c r="I1013" i="4" s="1"/>
  <c r="G1131" i="4"/>
  <c r="I1131" i="4" s="1"/>
  <c r="G200" i="4"/>
  <c r="I200" i="4" s="1"/>
  <c r="G152" i="4"/>
  <c r="I152" i="4" s="1"/>
  <c r="G957" i="4" l="1"/>
  <c r="I957" i="4" s="1"/>
  <c r="G955" i="4"/>
  <c r="I955" i="4" s="1"/>
  <c r="G903" i="4"/>
  <c r="I903" i="4" s="1"/>
  <c r="G1196" i="4" l="1"/>
  <c r="I1196" i="4" s="1"/>
  <c r="G1123" i="4"/>
  <c r="I1123" i="4" s="1"/>
  <c r="G1120" i="4"/>
  <c r="I1120" i="4" s="1"/>
  <c r="G1084" i="4"/>
  <c r="I1084" i="4" s="1"/>
  <c r="G1064" i="4"/>
  <c r="I1064" i="4" s="1"/>
  <c r="G985" i="4"/>
  <c r="I985" i="4" s="1"/>
  <c r="G213" i="4"/>
  <c r="I213" i="4" s="1"/>
  <c r="I1260" i="4" s="1"/>
  <c r="G1072" i="4" l="1"/>
  <c r="I1072" i="4" s="1"/>
  <c r="G971" i="4" l="1"/>
  <c r="I971" i="4" s="1"/>
  <c r="G1168" i="4" l="1"/>
  <c r="I1168" i="4" s="1"/>
  <c r="G697" i="4" l="1"/>
  <c r="I697" i="4" s="1"/>
  <c r="G562" i="4" l="1"/>
  <c r="G561" i="4" l="1"/>
  <c r="I562" i="4"/>
  <c r="G142" i="4"/>
  <c r="G555" i="4" l="1"/>
  <c r="I561" i="4"/>
  <c r="G141" i="4"/>
  <c r="I142" i="4"/>
  <c r="F186" i="3"/>
  <c r="G595" i="4"/>
  <c r="I595" i="4" s="1"/>
  <c r="F185" i="3" l="1"/>
  <c r="H185" i="3" s="1"/>
  <c r="H186" i="3"/>
  <c r="G140" i="4"/>
  <c r="I140" i="4" s="1"/>
  <c r="I141" i="4"/>
  <c r="I555" i="4"/>
  <c r="G554" i="4"/>
  <c r="F499" i="3"/>
  <c r="F498" i="3" l="1"/>
  <c r="H499" i="3"/>
  <c r="G553" i="4"/>
  <c r="I554" i="4"/>
  <c r="G947" i="4"/>
  <c r="I947" i="4" s="1"/>
  <c r="I553" i="4" l="1"/>
  <c r="G552" i="4"/>
  <c r="I552" i="4" s="1"/>
  <c r="G551" i="4"/>
  <c r="I551" i="4" s="1"/>
  <c r="F497" i="3"/>
  <c r="H498" i="3"/>
  <c r="H892" i="23"/>
  <c r="H891" i="23" s="1"/>
  <c r="H890" i="23" s="1"/>
  <c r="H889" i="23" s="1"/>
  <c r="H888" i="23" s="1"/>
  <c r="H887" i="23" s="1"/>
  <c r="H886" i="23" s="1"/>
  <c r="H885" i="23" s="1"/>
  <c r="G892" i="23"/>
  <c r="G891" i="23" s="1"/>
  <c r="G890" i="23" s="1"/>
  <c r="G889" i="23" s="1"/>
  <c r="G888" i="23" s="1"/>
  <c r="G887" i="23" s="1"/>
  <c r="G886" i="23" s="1"/>
  <c r="G885" i="23" s="1"/>
  <c r="H883" i="23"/>
  <c r="H882" i="23" s="1"/>
  <c r="H881" i="23" s="1"/>
  <c r="H880" i="23" s="1"/>
  <c r="H879" i="23" s="1"/>
  <c r="G883" i="23"/>
  <c r="G882" i="23" s="1"/>
  <c r="G881" i="23" s="1"/>
  <c r="G880" i="23" s="1"/>
  <c r="G879" i="23" s="1"/>
  <c r="H875" i="23"/>
  <c r="H874" i="23" s="1"/>
  <c r="H873" i="23" s="1"/>
  <c r="H872" i="23" s="1"/>
  <c r="H871" i="23" s="1"/>
  <c r="G875" i="23"/>
  <c r="G874" i="23" s="1"/>
  <c r="G873" i="23" s="1"/>
  <c r="G872" i="23" s="1"/>
  <c r="G871" i="23" s="1"/>
  <c r="H867" i="23"/>
  <c r="H868" i="23" s="1"/>
  <c r="G867" i="23"/>
  <c r="G866" i="23" s="1"/>
  <c r="G865" i="23" s="1"/>
  <c r="G864" i="23" s="1"/>
  <c r="G863" i="23" s="1"/>
  <c r="H844" i="23"/>
  <c r="H843" i="23" s="1"/>
  <c r="H842" i="23" s="1"/>
  <c r="H841" i="23" s="1"/>
  <c r="H840" i="23" s="1"/>
  <c r="H845" i="23" s="1"/>
  <c r="G844" i="23"/>
  <c r="G843" i="23" s="1"/>
  <c r="G842" i="23" s="1"/>
  <c r="G841" i="23" s="1"/>
  <c r="G840" i="23" s="1"/>
  <c r="G845" i="23" s="1"/>
  <c r="H838" i="23"/>
  <c r="H839" i="23" s="1"/>
  <c r="G838" i="23"/>
  <c r="G839" i="23" s="1"/>
  <c r="H832" i="23"/>
  <c r="H833" i="23" s="1"/>
  <c r="G832" i="23"/>
  <c r="H826" i="23"/>
  <c r="H827" i="23" s="1"/>
  <c r="G826" i="23"/>
  <c r="G827" i="23" s="1"/>
  <c r="H823" i="23"/>
  <c r="G823" i="23"/>
  <c r="H822" i="23"/>
  <c r="H821" i="23" s="1"/>
  <c r="H820" i="23" s="1"/>
  <c r="G822" i="23"/>
  <c r="G821" i="23" s="1"/>
  <c r="G820" i="23" s="1"/>
  <c r="H817" i="23"/>
  <c r="H818" i="23" s="1"/>
  <c r="G817" i="23"/>
  <c r="G818" i="23" s="1"/>
  <c r="H812" i="23"/>
  <c r="H813" i="23" s="1"/>
  <c r="G812" i="23"/>
  <c r="H801" i="23"/>
  <c r="H802" i="23" s="1"/>
  <c r="G801" i="23"/>
  <c r="G802" i="23" s="1"/>
  <c r="G793" i="23"/>
  <c r="G794" i="23" s="1"/>
  <c r="H785" i="23"/>
  <c r="H786" i="23" s="1"/>
  <c r="G785" i="23"/>
  <c r="G786" i="23" s="1"/>
  <c r="H781" i="23"/>
  <c r="H782" i="23" s="1"/>
  <c r="G781" i="23"/>
  <c r="G782" i="23" s="1"/>
  <c r="H778" i="23"/>
  <c r="G778" i="23"/>
  <c r="H776" i="23"/>
  <c r="H775" i="23" s="1"/>
  <c r="G776" i="23"/>
  <c r="G775" i="23" s="1"/>
  <c r="H773" i="23"/>
  <c r="H774" i="23" s="1"/>
  <c r="G773" i="23"/>
  <c r="G774" i="23" s="1"/>
  <c r="H770" i="23"/>
  <c r="H771" i="23" s="1"/>
  <c r="G770" i="23"/>
  <c r="G771" i="23" s="1"/>
  <c r="H767" i="23"/>
  <c r="H717" i="23"/>
  <c r="H718" i="23" s="1"/>
  <c r="G717" i="23"/>
  <c r="G718" i="23" s="1"/>
  <c r="H709" i="23"/>
  <c r="H710" i="23" s="1"/>
  <c r="G709" i="23"/>
  <c r="H694" i="23"/>
  <c r="G694" i="23"/>
  <c r="G695" i="23" s="1"/>
  <c r="H683" i="23"/>
  <c r="H684" i="23" s="1"/>
  <c r="G683" i="23"/>
  <c r="H679" i="23"/>
  <c r="H680" i="23" s="1"/>
  <c r="H672" i="23"/>
  <c r="H668" i="23"/>
  <c r="G668" i="23"/>
  <c r="G669" i="23" s="1"/>
  <c r="H664" i="23"/>
  <c r="G664" i="23"/>
  <c r="H654" i="23"/>
  <c r="G654" i="23"/>
  <c r="H650" i="23"/>
  <c r="G650" i="23"/>
  <c r="H642" i="23"/>
  <c r="G642" i="23"/>
  <c r="G643" i="23" s="1"/>
  <c r="H636" i="23"/>
  <c r="H635" i="23" s="1"/>
  <c r="H634" i="23" s="1"/>
  <c r="G636" i="23"/>
  <c r="G635" i="23" s="1"/>
  <c r="G634" i="23" s="1"/>
  <c r="G633" i="23" s="1"/>
  <c r="H631" i="23"/>
  <c r="H632" i="23" s="1"/>
  <c r="G631" i="23"/>
  <c r="H625" i="23"/>
  <c r="H624" i="23" s="1"/>
  <c r="H623" i="23" s="1"/>
  <c r="G625" i="23"/>
  <c r="H620" i="23"/>
  <c r="G620" i="23"/>
  <c r="G619" i="23" s="1"/>
  <c r="G618" i="23" s="1"/>
  <c r="G617" i="23" s="1"/>
  <c r="H615" i="23"/>
  <c r="H616" i="23" s="1"/>
  <c r="G615" i="23"/>
  <c r="H609" i="23"/>
  <c r="H610" i="23" s="1"/>
  <c r="G609" i="23"/>
  <c r="H603" i="23"/>
  <c r="G603" i="23"/>
  <c r="H595" i="23"/>
  <c r="H596" i="23" s="1"/>
  <c r="G595" i="23"/>
  <c r="H588" i="23"/>
  <c r="H587" i="23" s="1"/>
  <c r="H586" i="23" s="1"/>
  <c r="H585" i="23" s="1"/>
  <c r="H584" i="23" s="1"/>
  <c r="H583" i="23" s="1"/>
  <c r="H589" i="23" s="1"/>
  <c r="G588" i="23"/>
  <c r="G587" i="23" s="1"/>
  <c r="G586" i="23" s="1"/>
  <c r="G585" i="23" s="1"/>
  <c r="G584" i="23" s="1"/>
  <c r="G583" i="23" s="1"/>
  <c r="G589" i="23" s="1"/>
  <c r="H574" i="23"/>
  <c r="G574" i="23"/>
  <c r="G575" i="23" s="1"/>
  <c r="G567" i="23"/>
  <c r="G563" i="23"/>
  <c r="G553" i="23"/>
  <c r="G549" i="23"/>
  <c r="G542" i="23"/>
  <c r="G536" i="23"/>
  <c r="G537" i="23" s="1"/>
  <c r="G530" i="23"/>
  <c r="G531" i="23" s="1"/>
  <c r="H520" i="23"/>
  <c r="G520" i="23"/>
  <c r="G521" i="23" s="1"/>
  <c r="G500" i="23"/>
  <c r="G501" i="23" s="1"/>
  <c r="G497" i="23"/>
  <c r="G494" i="23"/>
  <c r="G495" i="23" s="1"/>
  <c r="G488" i="23"/>
  <c r="G489" i="23" s="1"/>
  <c r="G485" i="23"/>
  <c r="G482" i="23"/>
  <c r="G483" i="23" s="1"/>
  <c r="G473" i="23"/>
  <c r="G470" i="23"/>
  <c r="G471" i="23" s="1"/>
  <c r="G462" i="23"/>
  <c r="G461" i="23" s="1"/>
  <c r="G460" i="23" s="1"/>
  <c r="G459" i="23" s="1"/>
  <c r="G458" i="23" s="1"/>
  <c r="G457" i="23" s="1"/>
  <c r="G463" i="23" s="1"/>
  <c r="H452" i="23"/>
  <c r="G452" i="23"/>
  <c r="G438" i="23"/>
  <c r="G423" i="23"/>
  <c r="G412" i="23"/>
  <c r="H385" i="23"/>
  <c r="G385" i="23"/>
  <c r="G386" i="23" s="1"/>
  <c r="H381" i="23"/>
  <c r="G381" i="23"/>
  <c r="G382" i="23" s="1"/>
  <c r="G369" i="23"/>
  <c r="G368" i="23" s="1"/>
  <c r="G367" i="23" s="1"/>
  <c r="G362" i="23"/>
  <c r="G363" i="23" s="1"/>
  <c r="H354" i="23"/>
  <c r="H355" i="23" s="1"/>
  <c r="G354" i="23"/>
  <c r="G350" i="23"/>
  <c r="G335" i="23"/>
  <c r="G334" i="23" s="1"/>
  <c r="G333" i="23" s="1"/>
  <c r="G332" i="23" s="1"/>
  <c r="G331" i="23" s="1"/>
  <c r="G330" i="23" s="1"/>
  <c r="G336" i="23" s="1"/>
  <c r="H321" i="23"/>
  <c r="H320" i="23" s="1"/>
  <c r="H319" i="23" s="1"/>
  <c r="H322" i="23" s="1"/>
  <c r="H317" i="23"/>
  <c r="H316" i="23" s="1"/>
  <c r="H315" i="23" s="1"/>
  <c r="G317" i="23"/>
  <c r="G316" i="23" s="1"/>
  <c r="G315" i="23" s="1"/>
  <c r="H310" i="23"/>
  <c r="H311" i="23" s="1"/>
  <c r="G310" i="23"/>
  <c r="H303" i="23"/>
  <c r="G303" i="23"/>
  <c r="H296" i="23"/>
  <c r="H297" i="23" s="1"/>
  <c r="G296" i="23"/>
  <c r="G297" i="23" s="1"/>
  <c r="H282" i="23"/>
  <c r="H283" i="23" s="1"/>
  <c r="G282" i="23"/>
  <c r="G277" i="23"/>
  <c r="G264" i="23"/>
  <c r="G265" i="23" s="1"/>
  <c r="H253" i="23"/>
  <c r="G253" i="23"/>
  <c r="G209" i="23"/>
  <c r="G205" i="23"/>
  <c r="H200" i="23"/>
  <c r="H201" i="23" s="1"/>
  <c r="G200" i="23"/>
  <c r="G192" i="23"/>
  <c r="G193" i="23" s="1"/>
  <c r="H188" i="23"/>
  <c r="H189" i="23" s="1"/>
  <c r="G188" i="23"/>
  <c r="G184" i="23"/>
  <c r="H180" i="23"/>
  <c r="H179" i="23" s="1"/>
  <c r="H178" i="23" s="1"/>
  <c r="H181" i="23" s="1"/>
  <c r="G180" i="23"/>
  <c r="G179" i="23" s="1"/>
  <c r="G178" i="23" s="1"/>
  <c r="G181" i="23" s="1"/>
  <c r="H175" i="23"/>
  <c r="G175" i="23"/>
  <c r="G167" i="23"/>
  <c r="G163" i="23"/>
  <c r="G156" i="23"/>
  <c r="G151" i="23"/>
  <c r="G146" i="23"/>
  <c r="G147" i="23" s="1"/>
  <c r="H138" i="23"/>
  <c r="H139" i="23" s="1"/>
  <c r="G138" i="23"/>
  <c r="G139" i="23" s="1"/>
  <c r="H132" i="23"/>
  <c r="G125" i="23"/>
  <c r="G126" i="23" s="1"/>
  <c r="G122" i="23"/>
  <c r="G123" i="23" s="1"/>
  <c r="G115" i="23"/>
  <c r="G116" i="23" s="1"/>
  <c r="H107" i="23"/>
  <c r="G107" i="23"/>
  <c r="H103" i="23"/>
  <c r="G103" i="23"/>
  <c r="G104" i="23" s="1"/>
  <c r="H95" i="23"/>
  <c r="H96" i="23" s="1"/>
  <c r="G95" i="23"/>
  <c r="G96" i="23" s="1"/>
  <c r="H51" i="23"/>
  <c r="G22" i="23"/>
  <c r="H15" i="23"/>
  <c r="H16" i="23" s="1"/>
  <c r="G15" i="23"/>
  <c r="H1126" i="22"/>
  <c r="G1126" i="22"/>
  <c r="AG1097" i="22"/>
  <c r="AD1097" i="22"/>
  <c r="AC1097" i="22"/>
  <c r="AA1097" i="22"/>
  <c r="AA1096" i="22" s="1"/>
  <c r="W1097" i="22"/>
  <c r="S1097" i="22"/>
  <c r="Q1097" i="22"/>
  <c r="Q1096" i="22" s="1"/>
  <c r="P1096" i="22"/>
  <c r="H1093" i="22"/>
  <c r="H1092" i="22" s="1"/>
  <c r="H1091" i="22" s="1"/>
  <c r="G1092" i="22"/>
  <c r="G1091" i="22" s="1"/>
  <c r="G1090" i="22"/>
  <c r="H1088" i="22"/>
  <c r="H1087" i="22" s="1"/>
  <c r="G1087" i="22"/>
  <c r="G1082" i="22"/>
  <c r="H1082" i="22" s="1"/>
  <c r="G1081" i="22"/>
  <c r="H1081" i="22" s="1"/>
  <c r="G1080" i="22"/>
  <c r="H1080" i="22" s="1"/>
  <c r="H1079" i="22"/>
  <c r="H1078" i="22" s="1"/>
  <c r="G1078" i="22"/>
  <c r="H1077" i="22"/>
  <c r="H1076" i="22" s="1"/>
  <c r="G1076" i="22"/>
  <c r="H1074" i="22"/>
  <c r="H1073" i="22" s="1"/>
  <c r="G1073" i="22"/>
  <c r="H1072" i="22"/>
  <c r="G1071" i="22"/>
  <c r="H1065" i="22"/>
  <c r="H1064" i="22" s="1"/>
  <c r="G1065" i="22"/>
  <c r="G1064" i="22" s="1"/>
  <c r="H1062" i="22"/>
  <c r="H1061" i="22" s="1"/>
  <c r="G1062" i="22"/>
  <c r="G1061" i="22" s="1"/>
  <c r="H1057" i="22"/>
  <c r="H1056" i="22" s="1"/>
  <c r="G1057" i="22"/>
  <c r="G1056" i="22" s="1"/>
  <c r="H1054" i="22"/>
  <c r="G1054" i="22"/>
  <c r="H1052" i="22"/>
  <c r="G1052" i="22"/>
  <c r="G1045" i="22"/>
  <c r="F884" i="21" s="1"/>
  <c r="F883" i="21" s="1"/>
  <c r="F882" i="21" s="1"/>
  <c r="F881" i="21" s="1"/>
  <c r="F880" i="21" s="1"/>
  <c r="H1036" i="22"/>
  <c r="H1035" i="22" s="1"/>
  <c r="H1034" i="22" s="1"/>
  <c r="H1033" i="22" s="1"/>
  <c r="G1036" i="22"/>
  <c r="G1035" i="22" s="1"/>
  <c r="G1034" i="22" s="1"/>
  <c r="G1033" i="22" s="1"/>
  <c r="H1032" i="22"/>
  <c r="H1031" i="22" s="1"/>
  <c r="H1030" i="22" s="1"/>
  <c r="G1031" i="22"/>
  <c r="G1030" i="22" s="1"/>
  <c r="H1029" i="22"/>
  <c r="H1028" i="22" s="1"/>
  <c r="G1028" i="22"/>
  <c r="H1027" i="22"/>
  <c r="H1026" i="22" s="1"/>
  <c r="G1026" i="22"/>
  <c r="G1023" i="22"/>
  <c r="H1023" i="22" s="1"/>
  <c r="G1022" i="22"/>
  <c r="H1022" i="22" s="1"/>
  <c r="G1021" i="22"/>
  <c r="H1021" i="22" s="1"/>
  <c r="H1020" i="22"/>
  <c r="H1019" i="22" s="1"/>
  <c r="H1018" i="22" s="1"/>
  <c r="G1019" i="22"/>
  <c r="G1018" i="22" s="1"/>
  <c r="H1015" i="22"/>
  <c r="H1014" i="22" s="1"/>
  <c r="H1013" i="22" s="1"/>
  <c r="G1014" i="22"/>
  <c r="G1013" i="22" s="1"/>
  <c r="G1012" i="22"/>
  <c r="G1011" i="22" s="1"/>
  <c r="G1010" i="22"/>
  <c r="H1008" i="22"/>
  <c r="G448" i="21" s="1"/>
  <c r="G447" i="21" s="1"/>
  <c r="G1007" i="22"/>
  <c r="G1002" i="22"/>
  <c r="F442" i="21" s="1"/>
  <c r="F441" i="21" s="1"/>
  <c r="F440" i="21" s="1"/>
  <c r="H996" i="22"/>
  <c r="H995" i="22" s="1"/>
  <c r="G996" i="22"/>
  <c r="G995" i="22" s="1"/>
  <c r="G994" i="22"/>
  <c r="G690" i="23" s="1"/>
  <c r="G993" i="22"/>
  <c r="H993" i="22" s="1"/>
  <c r="G992" i="22"/>
  <c r="H992" i="22" s="1"/>
  <c r="H991" i="22" s="1"/>
  <c r="H989" i="22"/>
  <c r="H988" i="22" s="1"/>
  <c r="G989" i="22"/>
  <c r="G988" i="22" s="1"/>
  <c r="G987" i="22"/>
  <c r="G679" i="23" s="1"/>
  <c r="H986" i="22"/>
  <c r="H985" i="22" s="1"/>
  <c r="G986" i="22"/>
  <c r="G985" i="22"/>
  <c r="G984" i="22"/>
  <c r="G982" i="22"/>
  <c r="G981" i="22" s="1"/>
  <c r="H981" i="22"/>
  <c r="H978" i="22"/>
  <c r="H977" i="22" s="1"/>
  <c r="G978" i="22"/>
  <c r="G977" i="22" s="1"/>
  <c r="H975" i="22"/>
  <c r="H974" i="22" s="1"/>
  <c r="G975" i="22"/>
  <c r="G974" i="22" s="1"/>
  <c r="G973" i="22"/>
  <c r="G972" i="22"/>
  <c r="G657" i="23" s="1"/>
  <c r="G971" i="22"/>
  <c r="H971" i="22" s="1"/>
  <c r="H969" i="22"/>
  <c r="H968" i="22" s="1"/>
  <c r="G969" i="22"/>
  <c r="G968" i="22" s="1"/>
  <c r="H966" i="22"/>
  <c r="H965" i="22" s="1"/>
  <c r="G966" i="22"/>
  <c r="G965" i="22" s="1"/>
  <c r="H962" i="22"/>
  <c r="H961" i="22" s="1"/>
  <c r="H960" i="22" s="1"/>
  <c r="G962" i="22"/>
  <c r="G961" i="22" s="1"/>
  <c r="G960" i="22" s="1"/>
  <c r="G958" i="22"/>
  <c r="H958" i="22" s="1"/>
  <c r="H957" i="22" s="1"/>
  <c r="H956" i="22" s="1"/>
  <c r="H955" i="22" s="1"/>
  <c r="H954" i="22" s="1"/>
  <c r="H951" i="22"/>
  <c r="H950" i="22" s="1"/>
  <c r="H949" i="22" s="1"/>
  <c r="H948" i="22" s="1"/>
  <c r="H1150" i="22" s="1"/>
  <c r="G951" i="22"/>
  <c r="G950" i="22" s="1"/>
  <c r="G949" i="22" s="1"/>
  <c r="G948" i="22" s="1"/>
  <c r="G1150" i="22" s="1"/>
  <c r="G947" i="22"/>
  <c r="G759" i="23" s="1"/>
  <c r="G946" i="22"/>
  <c r="H946" i="22" s="1"/>
  <c r="G945" i="22"/>
  <c r="G944" i="22" s="1"/>
  <c r="G943" i="22"/>
  <c r="G752" i="23" s="1"/>
  <c r="G942" i="22"/>
  <c r="H942" i="22" s="1"/>
  <c r="G941" i="22"/>
  <c r="G940" i="22" s="1"/>
  <c r="G939" i="22"/>
  <c r="G745" i="23" s="1"/>
  <c r="G938" i="22"/>
  <c r="H938" i="22" s="1"/>
  <c r="G937" i="22"/>
  <c r="G936" i="22" s="1"/>
  <c r="G935" i="22"/>
  <c r="G738" i="23" s="1"/>
  <c r="G934" i="22"/>
  <c r="H934" i="22" s="1"/>
  <c r="G933" i="22"/>
  <c r="G932" i="22" s="1"/>
  <c r="G931" i="22"/>
  <c r="G731" i="23" s="1"/>
  <c r="G930" i="22"/>
  <c r="H930" i="22" s="1"/>
  <c r="G929" i="22"/>
  <c r="G928" i="22" s="1"/>
  <c r="G927" i="22"/>
  <c r="G724" i="23" s="1"/>
  <c r="G926" i="22"/>
  <c r="H926" i="22" s="1"/>
  <c r="G925" i="22"/>
  <c r="G924" i="22" s="1"/>
  <c r="H922" i="22"/>
  <c r="H921" i="22" s="1"/>
  <c r="H920" i="22" s="1"/>
  <c r="G922" i="22"/>
  <c r="G921" i="22" s="1"/>
  <c r="G920" i="22" s="1"/>
  <c r="G918" i="22"/>
  <c r="H918" i="22" s="1"/>
  <c r="G917" i="22"/>
  <c r="H917" i="22" s="1"/>
  <c r="G916" i="22"/>
  <c r="H916" i="22" s="1"/>
  <c r="G915" i="22"/>
  <c r="H915" i="22" s="1"/>
  <c r="G914" i="22"/>
  <c r="H914" i="22" s="1"/>
  <c r="G913" i="22"/>
  <c r="H913" i="22" s="1"/>
  <c r="G912" i="22"/>
  <c r="H912" i="22" s="1"/>
  <c r="G911" i="22"/>
  <c r="H911" i="22" s="1"/>
  <c r="G910" i="22"/>
  <c r="H910" i="22" s="1"/>
  <c r="G909" i="22"/>
  <c r="H909" i="22" s="1"/>
  <c r="G908" i="22"/>
  <c r="H908" i="22" s="1"/>
  <c r="G907" i="22"/>
  <c r="H907" i="22" s="1"/>
  <c r="G906" i="22"/>
  <c r="H906" i="22" s="1"/>
  <c r="G905" i="22"/>
  <c r="H905" i="22" s="1"/>
  <c r="G904" i="22"/>
  <c r="H904" i="22" s="1"/>
  <c r="G903" i="22"/>
  <c r="H903" i="22" s="1"/>
  <c r="G901" i="22"/>
  <c r="H901" i="22" s="1"/>
  <c r="G900" i="22"/>
  <c r="H900" i="22" s="1"/>
  <c r="H899" i="22"/>
  <c r="H898" i="22" s="1"/>
  <c r="H897" i="22" s="1"/>
  <c r="G899" i="22"/>
  <c r="G898" i="22" s="1"/>
  <c r="G897" i="22" s="1"/>
  <c r="G896" i="22"/>
  <c r="G895" i="22" s="1"/>
  <c r="H894" i="22"/>
  <c r="G893" i="22"/>
  <c r="H893" i="22" s="1"/>
  <c r="G888" i="22"/>
  <c r="G887" i="22" s="1"/>
  <c r="G886" i="22" s="1"/>
  <c r="H885" i="22"/>
  <c r="H884" i="22" s="1"/>
  <c r="H883" i="22" s="1"/>
  <c r="G884" i="22"/>
  <c r="G883" i="22" s="1"/>
  <c r="G882" i="22"/>
  <c r="H882" i="22" s="1"/>
  <c r="G881" i="22"/>
  <c r="H881" i="22" s="1"/>
  <c r="G880" i="22"/>
  <c r="H880" i="22" s="1"/>
  <c r="G879" i="22"/>
  <c r="H879" i="22" s="1"/>
  <c r="G878" i="22"/>
  <c r="H878" i="22" s="1"/>
  <c r="G873" i="22"/>
  <c r="G28" i="23" s="1"/>
  <c r="G872" i="22"/>
  <c r="H872" i="22" s="1"/>
  <c r="G871" i="22"/>
  <c r="G25" i="23" s="1"/>
  <c r="G26" i="23" s="1"/>
  <c r="H869" i="22"/>
  <c r="H868" i="22" s="1"/>
  <c r="G868" i="22"/>
  <c r="H864" i="22"/>
  <c r="H863" i="22" s="1"/>
  <c r="H862" i="22" s="1"/>
  <c r="G864" i="22"/>
  <c r="G863" i="22" s="1"/>
  <c r="G862" i="22" s="1"/>
  <c r="H859" i="22"/>
  <c r="H858" i="22" s="1"/>
  <c r="H857" i="22" s="1"/>
  <c r="H856" i="22" s="1"/>
  <c r="H855" i="22" s="1"/>
  <c r="H854" i="22" s="1"/>
  <c r="G858" i="22"/>
  <c r="G857" i="22" s="1"/>
  <c r="G856" i="22" s="1"/>
  <c r="G855" i="22" s="1"/>
  <c r="G854" i="22" s="1"/>
  <c r="G852" i="22"/>
  <c r="G845" i="22"/>
  <c r="G844" i="22" s="1"/>
  <c r="H843" i="22"/>
  <c r="H842" i="22" s="1"/>
  <c r="G842" i="22"/>
  <c r="H841" i="22"/>
  <c r="H840" i="22" s="1"/>
  <c r="G840" i="22"/>
  <c r="H838" i="22"/>
  <c r="G837" i="22"/>
  <c r="G836" i="22" s="1"/>
  <c r="G830" i="22"/>
  <c r="G455" i="23" s="1"/>
  <c r="H827" i="22"/>
  <c r="G827" i="22"/>
  <c r="H823" i="22"/>
  <c r="G822" i="22"/>
  <c r="G821" i="22" s="1"/>
  <c r="G820" i="22"/>
  <c r="G819" i="22" s="1"/>
  <c r="H818" i="22"/>
  <c r="H817" i="22" s="1"/>
  <c r="G817" i="22"/>
  <c r="H816" i="22"/>
  <c r="H815" i="22" s="1"/>
  <c r="G815" i="22"/>
  <c r="H811" i="22"/>
  <c r="H810" i="22" s="1"/>
  <c r="H809" i="22" s="1"/>
  <c r="G810" i="22"/>
  <c r="G809" i="22" s="1"/>
  <c r="H808" i="22"/>
  <c r="G807" i="22"/>
  <c r="G806" i="22" s="1"/>
  <c r="H801" i="22"/>
  <c r="H800" i="22" s="1"/>
  <c r="H799" i="22" s="1"/>
  <c r="H798" i="22" s="1"/>
  <c r="G801" i="22"/>
  <c r="G800" i="22" s="1"/>
  <c r="G799" i="22" s="1"/>
  <c r="G798" i="22" s="1"/>
  <c r="H796" i="22"/>
  <c r="H795" i="22" s="1"/>
  <c r="H794" i="22" s="1"/>
  <c r="H793" i="22" s="1"/>
  <c r="G796" i="22"/>
  <c r="G795" i="22" s="1"/>
  <c r="G794" i="22" s="1"/>
  <c r="G793" i="22" s="1"/>
  <c r="I792" i="22"/>
  <c r="G792" i="22"/>
  <c r="F912" i="21" s="1"/>
  <c r="F911" i="21" s="1"/>
  <c r="F910" i="21" s="1"/>
  <c r="F909" i="21" s="1"/>
  <c r="H788" i="22"/>
  <c r="G787" i="22"/>
  <c r="G786" i="22" s="1"/>
  <c r="G785" i="22"/>
  <c r="G434" i="23" s="1"/>
  <c r="G784" i="22"/>
  <c r="H784" i="22" s="1"/>
  <c r="G783" i="22"/>
  <c r="H783" i="22" s="1"/>
  <c r="G781" i="22"/>
  <c r="G427" i="23" s="1"/>
  <c r="H777" i="22"/>
  <c r="H423" i="23" s="1"/>
  <c r="G776" i="22"/>
  <c r="G775" i="22" s="1"/>
  <c r="G774" i="22"/>
  <c r="G773" i="22"/>
  <c r="H773" i="22" s="1"/>
  <c r="G772" i="22"/>
  <c r="H770" i="22"/>
  <c r="H412" i="23" s="1"/>
  <c r="G769" i="22"/>
  <c r="G768" i="22" s="1"/>
  <c r="G767" i="22" s="1"/>
  <c r="H762" i="22"/>
  <c r="H761" i="22" s="1"/>
  <c r="H760" i="22" s="1"/>
  <c r="H759" i="22" s="1"/>
  <c r="H758" i="22" s="1"/>
  <c r="H757" i="22" s="1"/>
  <c r="G762" i="22"/>
  <c r="G761" i="22" s="1"/>
  <c r="G760" i="22" s="1"/>
  <c r="G759" i="22" s="1"/>
  <c r="G758" i="22" s="1"/>
  <c r="G757" i="22" s="1"/>
  <c r="H754" i="22"/>
  <c r="H753" i="22" s="1"/>
  <c r="G754" i="22"/>
  <c r="G753" i="22" s="1"/>
  <c r="G752" i="22"/>
  <c r="G751" i="22" s="1"/>
  <c r="H751" i="22" s="1"/>
  <c r="G750" i="22"/>
  <c r="H750" i="22" s="1"/>
  <c r="G735" i="21" s="1"/>
  <c r="G734" i="21" s="1"/>
  <c r="H748" i="22"/>
  <c r="G733" i="21" s="1"/>
  <c r="G732" i="21" s="1"/>
  <c r="G747" i="22"/>
  <c r="H744" i="22"/>
  <c r="H743" i="22" s="1"/>
  <c r="H742" i="22" s="1"/>
  <c r="H741" i="22" s="1"/>
  <c r="G743" i="22"/>
  <c r="G742" i="22" s="1"/>
  <c r="G741" i="22" s="1"/>
  <c r="G739" i="22"/>
  <c r="F724" i="21" s="1"/>
  <c r="F723" i="21" s="1"/>
  <c r="F722" i="21" s="1"/>
  <c r="G736" i="22"/>
  <c r="G735" i="22" s="1"/>
  <c r="H734" i="22"/>
  <c r="G733" i="22"/>
  <c r="H727" i="22"/>
  <c r="H726" i="22" s="1"/>
  <c r="G727" i="22"/>
  <c r="G726" i="22" s="1"/>
  <c r="H724" i="22"/>
  <c r="H723" i="22" s="1"/>
  <c r="G724" i="22"/>
  <c r="G723" i="22" s="1"/>
  <c r="H718" i="22"/>
  <c r="H717" i="22" s="1"/>
  <c r="H715" i="22" s="1"/>
  <c r="G718" i="22"/>
  <c r="G717" i="22" s="1"/>
  <c r="H713" i="22"/>
  <c r="H712" i="22" s="1"/>
  <c r="H711" i="22" s="1"/>
  <c r="G713" i="22"/>
  <c r="G712" i="22" s="1"/>
  <c r="G711" i="22" s="1"/>
  <c r="G710" i="22"/>
  <c r="H710" i="22" s="1"/>
  <c r="G709" i="22"/>
  <c r="H709" i="22" s="1"/>
  <c r="G708" i="22"/>
  <c r="G706" i="22"/>
  <c r="F635" i="21" s="1"/>
  <c r="F634" i="21" s="1"/>
  <c r="F633" i="21" s="1"/>
  <c r="H703" i="22"/>
  <c r="G632" i="21" s="1"/>
  <c r="G631" i="21" s="1"/>
  <c r="G630" i="21" s="1"/>
  <c r="G702" i="22"/>
  <c r="G701" i="22" s="1"/>
  <c r="H700" i="22"/>
  <c r="H205" i="23" s="1"/>
  <c r="G699" i="22"/>
  <c r="G698" i="22" s="1"/>
  <c r="H696" i="22"/>
  <c r="G625" i="21" s="1"/>
  <c r="G624" i="21" s="1"/>
  <c r="G623" i="21" s="1"/>
  <c r="G622" i="21" s="1"/>
  <c r="G695" i="22"/>
  <c r="G694" i="22" s="1"/>
  <c r="G693" i="22" s="1"/>
  <c r="H689" i="22"/>
  <c r="H688" i="22" s="1"/>
  <c r="H687" i="22" s="1"/>
  <c r="H686" i="22" s="1"/>
  <c r="G689" i="22"/>
  <c r="G688" i="22" s="1"/>
  <c r="G687" i="22" s="1"/>
  <c r="G686" i="22" s="1"/>
  <c r="H684" i="22"/>
  <c r="H683" i="22" s="1"/>
  <c r="H682" i="22" s="1"/>
  <c r="H681" i="22" s="1"/>
  <c r="G684" i="22"/>
  <c r="G683" i="22" s="1"/>
  <c r="G682" i="22" s="1"/>
  <c r="G681" i="22" s="1"/>
  <c r="H680" i="22"/>
  <c r="G609" i="21" s="1"/>
  <c r="G608" i="21" s="1"/>
  <c r="G607" i="21" s="1"/>
  <c r="G606" i="21" s="1"/>
  <c r="G680" i="22"/>
  <c r="F609" i="21" s="1"/>
  <c r="F608" i="21" s="1"/>
  <c r="F607" i="21" s="1"/>
  <c r="F606" i="21" s="1"/>
  <c r="H676" i="22"/>
  <c r="H675" i="22" s="1"/>
  <c r="G675" i="22"/>
  <c r="G674" i="22" s="1"/>
  <c r="G673" i="22" s="1"/>
  <c r="H672" i="22"/>
  <c r="G672" i="22"/>
  <c r="F605" i="21" s="1"/>
  <c r="F604" i="21" s="1"/>
  <c r="F603" i="21" s="1"/>
  <c r="F602" i="21" s="1"/>
  <c r="H667" i="22"/>
  <c r="H666" i="22" s="1"/>
  <c r="G667" i="22"/>
  <c r="G666" i="22" s="1"/>
  <c r="H664" i="22"/>
  <c r="H663" i="22" s="1"/>
  <c r="G664" i="22"/>
  <c r="G663" i="22" s="1"/>
  <c r="H660" i="22"/>
  <c r="H659" i="22" s="1"/>
  <c r="H658" i="22" s="1"/>
  <c r="G660" i="22"/>
  <c r="G659" i="22" s="1"/>
  <c r="G658" i="22" s="1"/>
  <c r="H656" i="22"/>
  <c r="H655" i="22" s="1"/>
  <c r="H654" i="22" s="1"/>
  <c r="G656" i="22"/>
  <c r="G655" i="22" s="1"/>
  <c r="G654" i="22" s="1"/>
  <c r="H653" i="22"/>
  <c r="G586" i="21" s="1"/>
  <c r="G585" i="21" s="1"/>
  <c r="G584" i="21" s="1"/>
  <c r="G652" i="22"/>
  <c r="G651" i="22" s="1"/>
  <c r="G650" i="22"/>
  <c r="G649" i="22"/>
  <c r="H649" i="22" s="1"/>
  <c r="G648" i="22"/>
  <c r="H648" i="22" s="1"/>
  <c r="G646" i="22"/>
  <c r="G645" i="22" s="1"/>
  <c r="G644" i="22" s="1"/>
  <c r="G643" i="22"/>
  <c r="G242" i="23" s="1"/>
  <c r="G642" i="22"/>
  <c r="H642" i="22" s="1"/>
  <c r="G641" i="22"/>
  <c r="H641" i="22" s="1"/>
  <c r="G640" i="22"/>
  <c r="F573" i="21" s="1"/>
  <c r="F572" i="21" s="1"/>
  <c r="F571" i="21" s="1"/>
  <c r="G639" i="22"/>
  <c r="H639" i="22" s="1"/>
  <c r="G638" i="22"/>
  <c r="H638" i="22" s="1"/>
  <c r="G637" i="22"/>
  <c r="G234" i="23" s="1"/>
  <c r="G636" i="22"/>
  <c r="H636" i="22" s="1"/>
  <c r="G635" i="22"/>
  <c r="H635" i="22" s="1"/>
  <c r="H632" i="22"/>
  <c r="H631" i="22" s="1"/>
  <c r="G632" i="22"/>
  <c r="G631" i="22" s="1"/>
  <c r="G630" i="22"/>
  <c r="F563" i="21" s="1"/>
  <c r="F562" i="21" s="1"/>
  <c r="F561" i="21" s="1"/>
  <c r="H627" i="22"/>
  <c r="H192" i="23" s="1"/>
  <c r="G626" i="22"/>
  <c r="G625" i="22" s="1"/>
  <c r="H623" i="22"/>
  <c r="H622" i="22" s="1"/>
  <c r="G623" i="22"/>
  <c r="G622" i="22" s="1"/>
  <c r="H621" i="22"/>
  <c r="H184" i="23" s="1"/>
  <c r="G620" i="22"/>
  <c r="G619" i="22" s="1"/>
  <c r="H617" i="22"/>
  <c r="H616" i="22" s="1"/>
  <c r="G617" i="22"/>
  <c r="G616" i="22" s="1"/>
  <c r="H614" i="22"/>
  <c r="H151" i="23" s="1"/>
  <c r="G613" i="22"/>
  <c r="G612" i="22" s="1"/>
  <c r="G611" i="22" s="1"/>
  <c r="H607" i="22"/>
  <c r="H606" i="22" s="1"/>
  <c r="G607" i="22"/>
  <c r="G606" i="22" s="1"/>
  <c r="H602" i="22"/>
  <c r="H601" i="22" s="1"/>
  <c r="H600" i="22" s="1"/>
  <c r="H599" i="22" s="1"/>
  <c r="G602" i="22"/>
  <c r="G601" i="22" s="1"/>
  <c r="G600" i="22" s="1"/>
  <c r="G599" i="22" s="1"/>
  <c r="G598" i="22"/>
  <c r="G321" i="23" s="1"/>
  <c r="G320" i="23" s="1"/>
  <c r="G319" i="23" s="1"/>
  <c r="G322" i="23" s="1"/>
  <c r="H597" i="22"/>
  <c r="H596" i="22" s="1"/>
  <c r="H594" i="22"/>
  <c r="H593" i="22" s="1"/>
  <c r="G594" i="22"/>
  <c r="G593" i="22" s="1"/>
  <c r="G591" i="22"/>
  <c r="G587" i="22"/>
  <c r="H584" i="22"/>
  <c r="H264" i="23" s="1"/>
  <c r="G583" i="22"/>
  <c r="G582" i="22" s="1"/>
  <c r="G581" i="22"/>
  <c r="F511" i="21" s="1"/>
  <c r="F510" i="21" s="1"/>
  <c r="F509" i="21" s="1"/>
  <c r="G580" i="22"/>
  <c r="H580" i="22" s="1"/>
  <c r="G579" i="22"/>
  <c r="H579" i="22" s="1"/>
  <c r="G577" i="22"/>
  <c r="F507" i="21" s="1"/>
  <c r="F506" i="21" s="1"/>
  <c r="F505" i="21" s="1"/>
  <c r="F498" i="21" s="1"/>
  <c r="G574" i="22"/>
  <c r="G224" i="23" s="1"/>
  <c r="G573" i="22"/>
  <c r="H573" i="22" s="1"/>
  <c r="G572" i="22"/>
  <c r="H572" i="22" s="1"/>
  <c r="G571" i="22"/>
  <c r="G220" i="23" s="1"/>
  <c r="G570" i="22"/>
  <c r="H570" i="22" s="1"/>
  <c r="G569" i="22"/>
  <c r="H569" i="22" s="1"/>
  <c r="H566" i="22"/>
  <c r="H565" i="22" s="1"/>
  <c r="G566" i="22"/>
  <c r="G565" i="22" s="1"/>
  <c r="G564" i="22"/>
  <c r="H561" i="22"/>
  <c r="H167" i="23" s="1"/>
  <c r="G560" i="22"/>
  <c r="G559" i="22" s="1"/>
  <c r="H558" i="22"/>
  <c r="H163" i="23" s="1"/>
  <c r="G557" i="22"/>
  <c r="G556" i="22" s="1"/>
  <c r="H554" i="22"/>
  <c r="H146" i="23" s="1"/>
  <c r="G553" i="22"/>
  <c r="G552" i="22" s="1"/>
  <c r="G551" i="22" s="1"/>
  <c r="G547" i="22"/>
  <c r="H547" i="22" s="1"/>
  <c r="G546" i="22"/>
  <c r="H546" i="22" s="1"/>
  <c r="G545" i="22"/>
  <c r="H545" i="22" s="1"/>
  <c r="H543" i="22"/>
  <c r="H542" i="22" s="1"/>
  <c r="H541" i="22" s="1"/>
  <c r="H540" i="22" s="1"/>
  <c r="H539" i="22" s="1"/>
  <c r="H538" i="22" s="1"/>
  <c r="G543" i="22"/>
  <c r="G542" i="22" s="1"/>
  <c r="G541" i="22" s="1"/>
  <c r="G540" i="22" s="1"/>
  <c r="G539" i="22" s="1"/>
  <c r="G538" i="22" s="1"/>
  <c r="H535" i="22"/>
  <c r="H534" i="22" s="1"/>
  <c r="H533" i="22" s="1"/>
  <c r="H532" i="22" s="1"/>
  <c r="H531" i="22" s="1"/>
  <c r="G535" i="22"/>
  <c r="G534" i="22" s="1"/>
  <c r="G533" i="22" s="1"/>
  <c r="G532" i="22" s="1"/>
  <c r="G531" i="22" s="1"/>
  <c r="H529" i="22"/>
  <c r="H528" i="22" s="1"/>
  <c r="G529" i="22"/>
  <c r="G528" i="22" s="1"/>
  <c r="G527" i="22"/>
  <c r="H519" i="22"/>
  <c r="H518" i="22" s="1"/>
  <c r="H517" i="22" s="1"/>
  <c r="H516" i="22" s="1"/>
  <c r="H1147" i="22" s="1"/>
  <c r="G519" i="22"/>
  <c r="G518" i="22" s="1"/>
  <c r="G517" i="22" s="1"/>
  <c r="G515" i="22"/>
  <c r="H515" i="22" s="1"/>
  <c r="G514" i="22"/>
  <c r="H514" i="22" s="1"/>
  <c r="G513" i="22"/>
  <c r="H513" i="22" s="1"/>
  <c r="H512" i="22"/>
  <c r="H511" i="22" s="1"/>
  <c r="H510" i="22" s="1"/>
  <c r="G511" i="22"/>
  <c r="G510" i="22" s="1"/>
  <c r="H505" i="22"/>
  <c r="H504" i="22" s="1"/>
  <c r="H503" i="22" s="1"/>
  <c r="G505" i="22"/>
  <c r="G504" i="22" s="1"/>
  <c r="G503" i="22" s="1"/>
  <c r="H502" i="22"/>
  <c r="H501" i="22" s="1"/>
  <c r="H500" i="22" s="1"/>
  <c r="G501" i="22"/>
  <c r="G500" i="22" s="1"/>
  <c r="G499" i="22"/>
  <c r="H499" i="22" s="1"/>
  <c r="G497" i="22"/>
  <c r="F52" i="21" s="1"/>
  <c r="F51" i="21" s="1"/>
  <c r="H495" i="22"/>
  <c r="G494" i="22"/>
  <c r="H486" i="22"/>
  <c r="H485" i="22" s="1"/>
  <c r="G486" i="22"/>
  <c r="G485" i="22" s="1"/>
  <c r="H482" i="22"/>
  <c r="G481" i="22"/>
  <c r="G480" i="22" s="1"/>
  <c r="G479" i="22" s="1"/>
  <c r="H478" i="22"/>
  <c r="H500" i="23" s="1"/>
  <c r="G477" i="22"/>
  <c r="H476" i="22"/>
  <c r="G475" i="22"/>
  <c r="H474" i="22"/>
  <c r="H494" i="23" s="1"/>
  <c r="G473" i="22"/>
  <c r="H466" i="22"/>
  <c r="H465" i="22" s="1"/>
  <c r="H464" i="22" s="1"/>
  <c r="G466" i="22"/>
  <c r="G465" i="22" s="1"/>
  <c r="G464" i="22" s="1"/>
  <c r="H463" i="22"/>
  <c r="H125" i="23" s="1"/>
  <c r="G462" i="22"/>
  <c r="H461" i="22"/>
  <c r="G460" i="22"/>
  <c r="G459" i="22" s="1"/>
  <c r="H457" i="22"/>
  <c r="H115" i="23" s="1"/>
  <c r="G456" i="22"/>
  <c r="G455" i="22" s="1"/>
  <c r="H452" i="22"/>
  <c r="F91" i="19" s="1"/>
  <c r="G452" i="22"/>
  <c r="E91" i="19" s="1"/>
  <c r="H443" i="22"/>
  <c r="H442" i="22" s="1"/>
  <c r="H441" i="22" s="1"/>
  <c r="H440" i="22" s="1"/>
  <c r="G443" i="22"/>
  <c r="G442" i="22" s="1"/>
  <c r="G440" i="22" s="1"/>
  <c r="G441" i="22"/>
  <c r="G439" i="22"/>
  <c r="H438" i="22"/>
  <c r="H437" i="22" s="1"/>
  <c r="H436" i="22" s="1"/>
  <c r="H435" i="22" s="1"/>
  <c r="H434" i="22" s="1"/>
  <c r="G433" i="22"/>
  <c r="G432" i="22" s="1"/>
  <c r="G431" i="22" s="1"/>
  <c r="G430" i="22"/>
  <c r="G429" i="22" s="1"/>
  <c r="G428" i="22"/>
  <c r="H426" i="22"/>
  <c r="H425" i="22" s="1"/>
  <c r="G425" i="22"/>
  <c r="H421" i="22"/>
  <c r="H420" i="22" s="1"/>
  <c r="H419" i="22" s="1"/>
  <c r="G420" i="22"/>
  <c r="G419" i="22" s="1"/>
  <c r="G418" i="22"/>
  <c r="H418" i="22" s="1"/>
  <c r="G417" i="22"/>
  <c r="H417" i="22" s="1"/>
  <c r="H416" i="22"/>
  <c r="H415" i="22" s="1"/>
  <c r="H414" i="22" s="1"/>
  <c r="H413" i="22" s="1"/>
  <c r="H412" i="22" s="1"/>
  <c r="G415" i="22"/>
  <c r="G414" i="22" s="1"/>
  <c r="H409" i="22"/>
  <c r="H408" i="22" s="1"/>
  <c r="H407" i="22" s="1"/>
  <c r="H406" i="22" s="1"/>
  <c r="G409" i="22"/>
  <c r="G408" i="22" s="1"/>
  <c r="G407" i="22" s="1"/>
  <c r="G406" i="22" s="1"/>
  <c r="H404" i="22"/>
  <c r="H403" i="22" s="1"/>
  <c r="H401" i="22" s="1"/>
  <c r="G404" i="22"/>
  <c r="G403" i="22" s="1"/>
  <c r="G401" i="22" s="1"/>
  <c r="H402" i="22"/>
  <c r="G402" i="22"/>
  <c r="H399" i="22"/>
  <c r="H398" i="22" s="1"/>
  <c r="H397" i="22" s="1"/>
  <c r="G399" i="22"/>
  <c r="G398" i="22" s="1"/>
  <c r="G397" i="22" s="1"/>
  <c r="H395" i="22"/>
  <c r="H394" i="22" s="1"/>
  <c r="H393" i="22" s="1"/>
  <c r="G395" i="22"/>
  <c r="G394" i="22" s="1"/>
  <c r="G393" i="22" s="1"/>
  <c r="G392" i="22"/>
  <c r="H387" i="22"/>
  <c r="H386" i="22" s="1"/>
  <c r="H385" i="22" s="1"/>
  <c r="G387" i="22"/>
  <c r="G386" i="22" s="1"/>
  <c r="G385" i="22" s="1"/>
  <c r="H384" i="22"/>
  <c r="H567" i="23" s="1"/>
  <c r="G383" i="22"/>
  <c r="G382" i="22" s="1"/>
  <c r="H381" i="22"/>
  <c r="F135" i="19" s="1"/>
  <c r="G380" i="22"/>
  <c r="G379" i="22" s="1"/>
  <c r="H377" i="22"/>
  <c r="H536" i="23" s="1"/>
  <c r="G376" i="22"/>
  <c r="G375" i="22" s="1"/>
  <c r="G374" i="22" s="1"/>
  <c r="G373" i="22"/>
  <c r="H370" i="22"/>
  <c r="G370" i="22"/>
  <c r="H367" i="22"/>
  <c r="G366" i="22"/>
  <c r="H365" i="22"/>
  <c r="G364" i="22"/>
  <c r="H363" i="22"/>
  <c r="H482" i="23" s="1"/>
  <c r="G362" i="22"/>
  <c r="G356" i="22"/>
  <c r="G352" i="22"/>
  <c r="G51" i="23" s="1"/>
  <c r="H351" i="22"/>
  <c r="G350" i="22"/>
  <c r="G349" i="22" s="1"/>
  <c r="G346" i="22"/>
  <c r="G41" i="23" s="1"/>
  <c r="G345" i="22"/>
  <c r="H345" i="22" s="1"/>
  <c r="G344" i="22"/>
  <c r="H344" i="22" s="1"/>
  <c r="G343" i="22"/>
  <c r="H335" i="22"/>
  <c r="H334" i="22" s="1"/>
  <c r="H333" i="22" s="1"/>
  <c r="G335" i="22"/>
  <c r="G334" i="22" s="1"/>
  <c r="H330" i="22"/>
  <c r="H329" i="22" s="1"/>
  <c r="H327" i="22" s="1"/>
  <c r="G330" i="22"/>
  <c r="G329" i="22" s="1"/>
  <c r="G327" i="22" s="1"/>
  <c r="H328" i="22"/>
  <c r="G328" i="22"/>
  <c r="G326" i="22"/>
  <c r="G325" i="22" s="1"/>
  <c r="G324" i="22" s="1"/>
  <c r="H324" i="22" s="1"/>
  <c r="H323" i="22"/>
  <c r="G322" i="22"/>
  <c r="G321" i="22" s="1"/>
  <c r="H320" i="22"/>
  <c r="G319" i="22"/>
  <c r="G318" i="22" s="1"/>
  <c r="H316" i="22"/>
  <c r="H530" i="23" s="1"/>
  <c r="G315" i="22"/>
  <c r="G314" i="22" s="1"/>
  <c r="G313" i="22" s="1"/>
  <c r="G312" i="22"/>
  <c r="G514" i="23" s="1"/>
  <c r="G311" i="22"/>
  <c r="H311" i="22" s="1"/>
  <c r="G310" i="22"/>
  <c r="G511" i="23" s="1"/>
  <c r="G307" i="22"/>
  <c r="G507" i="23" s="1"/>
  <c r="G303" i="22"/>
  <c r="H301" i="22"/>
  <c r="G300" i="22"/>
  <c r="H299" i="22"/>
  <c r="G298" i="22"/>
  <c r="H291" i="22"/>
  <c r="H290" i="22" s="1"/>
  <c r="H289" i="22" s="1"/>
  <c r="G291" i="22"/>
  <c r="G290" i="22" s="1"/>
  <c r="G289" i="22" s="1"/>
  <c r="G288" i="22"/>
  <c r="G88" i="23" s="1"/>
  <c r="G287" i="22"/>
  <c r="H287" i="22" s="1"/>
  <c r="G286" i="22"/>
  <c r="G285" i="22" s="1"/>
  <c r="G284" i="22"/>
  <c r="G280" i="22"/>
  <c r="G74" i="23" s="1"/>
  <c r="G279" i="22"/>
  <c r="H279" i="22" s="1"/>
  <c r="G278" i="22"/>
  <c r="G277" i="22" s="1"/>
  <c r="G272" i="22"/>
  <c r="G805" i="23" s="1"/>
  <c r="H267" i="22"/>
  <c r="H793" i="23" s="1"/>
  <c r="G266" i="22"/>
  <c r="G265" i="22" s="1"/>
  <c r="H263" i="22"/>
  <c r="H262" i="22" s="1"/>
  <c r="G263" i="22"/>
  <c r="G262" i="22" s="1"/>
  <c r="G261" i="22"/>
  <c r="G789" i="23" s="1"/>
  <c r="G260" i="22"/>
  <c r="H260" i="22" s="1"/>
  <c r="G259" i="22"/>
  <c r="H259" i="22" s="1"/>
  <c r="H257" i="22"/>
  <c r="H256" i="22" s="1"/>
  <c r="G257" i="22"/>
  <c r="G256" i="22" s="1"/>
  <c r="G255" i="22"/>
  <c r="H254" i="22"/>
  <c r="H253" i="22" s="1"/>
  <c r="G254" i="22"/>
  <c r="G253" i="22"/>
  <c r="H249" i="22"/>
  <c r="H248" i="22" s="1"/>
  <c r="H247" i="22" s="1"/>
  <c r="H246" i="22" s="1"/>
  <c r="H245" i="22" s="1"/>
  <c r="G249" i="22"/>
  <c r="G248" i="22" s="1"/>
  <c r="G247" i="22" s="1"/>
  <c r="G246" i="22" s="1"/>
  <c r="G245" i="22" s="1"/>
  <c r="H241" i="22"/>
  <c r="G240" i="22"/>
  <c r="H238" i="22"/>
  <c r="G238" i="22"/>
  <c r="H232" i="22"/>
  <c r="H231" i="22" s="1"/>
  <c r="G232" i="22"/>
  <c r="G231" i="22" s="1"/>
  <c r="G230" i="22"/>
  <c r="G404" i="23" s="1"/>
  <c r="H224" i="22"/>
  <c r="H223" i="22" s="1"/>
  <c r="H222" i="22" s="1"/>
  <c r="H221" i="22" s="1"/>
  <c r="H220" i="22" s="1"/>
  <c r="H219" i="22" s="1"/>
  <c r="G223" i="22"/>
  <c r="G222" i="22" s="1"/>
  <c r="G221" i="22" s="1"/>
  <c r="G220" i="22" s="1"/>
  <c r="G219" i="22" s="1"/>
  <c r="H217" i="22"/>
  <c r="H350" i="23" s="1"/>
  <c r="G216" i="22"/>
  <c r="G215" i="22" s="1"/>
  <c r="G214" i="22" s="1"/>
  <c r="G213" i="22" s="1"/>
  <c r="G1134" i="22" s="1"/>
  <c r="G212" i="22"/>
  <c r="G211" i="22" s="1"/>
  <c r="H211" i="22"/>
  <c r="G210" i="22"/>
  <c r="G209" i="22" s="1"/>
  <c r="H203" i="22"/>
  <c r="H202" i="22" s="1"/>
  <c r="H201" i="22" s="1"/>
  <c r="G203" i="22"/>
  <c r="G202" i="22" s="1"/>
  <c r="G201" i="22" s="1"/>
  <c r="H199" i="22"/>
  <c r="H198" i="22" s="1"/>
  <c r="G199" i="22"/>
  <c r="G198" i="22" s="1"/>
  <c r="H197" i="22"/>
  <c r="G197" i="22"/>
  <c r="G190" i="22"/>
  <c r="G189" i="22" s="1"/>
  <c r="G188" i="22" s="1"/>
  <c r="G187" i="22"/>
  <c r="F245" i="21" s="1"/>
  <c r="F244" i="21" s="1"/>
  <c r="H185" i="22"/>
  <c r="G243" i="21" s="1"/>
  <c r="G242" i="21" s="1"/>
  <c r="G184" i="22"/>
  <c r="H184" i="22" s="1"/>
  <c r="G181" i="22"/>
  <c r="G180" i="22" s="1"/>
  <c r="G179" i="22" s="1"/>
  <c r="G178" i="22"/>
  <c r="H178" i="22" s="1"/>
  <c r="G171" i="22"/>
  <c r="H171" i="22" s="1"/>
  <c r="G170" i="22"/>
  <c r="H170" i="22" s="1"/>
  <c r="G169" i="22"/>
  <c r="G168" i="22" s="1"/>
  <c r="G167" i="22" s="1"/>
  <c r="G166" i="22" s="1"/>
  <c r="G165" i="22" s="1"/>
  <c r="G1105" i="22" s="1"/>
  <c r="H163" i="22"/>
  <c r="H162" i="22" s="1"/>
  <c r="H161" i="22" s="1"/>
  <c r="G163" i="22"/>
  <c r="G162" i="22" s="1"/>
  <c r="G161" i="22" s="1"/>
  <c r="H158" i="22"/>
  <c r="H157" i="22" s="1"/>
  <c r="H156" i="22" s="1"/>
  <c r="H155" i="22" s="1"/>
  <c r="H1148" i="22" s="1"/>
  <c r="G158" i="22"/>
  <c r="G157" i="22" s="1"/>
  <c r="G156" i="22" s="1"/>
  <c r="G155" i="22" s="1"/>
  <c r="G1148" i="22" s="1"/>
  <c r="G154" i="22"/>
  <c r="H149" i="22"/>
  <c r="H148" i="22" s="1"/>
  <c r="H147" i="22" s="1"/>
  <c r="G149" i="22"/>
  <c r="G148" i="22" s="1"/>
  <c r="G147" i="22" s="1"/>
  <c r="H144" i="22"/>
  <c r="H143" i="22" s="1"/>
  <c r="H141" i="22" s="1"/>
  <c r="G144" i="22"/>
  <c r="G143" i="22" s="1"/>
  <c r="G141" i="22" s="1"/>
  <c r="H142" i="22"/>
  <c r="G142" i="22"/>
  <c r="H140" i="22"/>
  <c r="G139" i="22"/>
  <c r="G138" i="22" s="1"/>
  <c r="H137" i="22"/>
  <c r="H136" i="22" s="1"/>
  <c r="G136" i="22"/>
  <c r="H135" i="22"/>
  <c r="G134" i="22"/>
  <c r="H128" i="22"/>
  <c r="G128" i="22"/>
  <c r="H126" i="22"/>
  <c r="G126" i="22"/>
  <c r="H121" i="22"/>
  <c r="H120" i="22" s="1"/>
  <c r="H119" i="22" s="1"/>
  <c r="G120" i="22"/>
  <c r="G119" i="22" s="1"/>
  <c r="H118" i="22"/>
  <c r="H117" i="22" s="1"/>
  <c r="H116" i="22" s="1"/>
  <c r="G117" i="22"/>
  <c r="G116" i="22" s="1"/>
  <c r="G112" i="22"/>
  <c r="G396" i="23" s="1"/>
  <c r="G111" i="22"/>
  <c r="H111" i="22" s="1"/>
  <c r="G110" i="22"/>
  <c r="H110" i="22" s="1"/>
  <c r="G109" i="22"/>
  <c r="H104" i="22"/>
  <c r="H103" i="22" s="1"/>
  <c r="G104" i="22"/>
  <c r="G103" i="22" s="1"/>
  <c r="H101" i="22"/>
  <c r="H100" i="22" s="1"/>
  <c r="G101" i="22"/>
  <c r="G100" i="22" s="1"/>
  <c r="G99" i="22"/>
  <c r="G377" i="23" s="1"/>
  <c r="G97" i="22"/>
  <c r="H93" i="22"/>
  <c r="H362" i="23" s="1"/>
  <c r="G92" i="22"/>
  <c r="G91" i="22" s="1"/>
  <c r="G90" i="22" s="1"/>
  <c r="H88" i="22"/>
  <c r="H87" i="22" s="1"/>
  <c r="G87" i="22"/>
  <c r="H86" i="22"/>
  <c r="G79" i="21" s="1"/>
  <c r="G78" i="21" s="1"/>
  <c r="G85" i="22"/>
  <c r="G83" i="22"/>
  <c r="G82" i="22" s="1"/>
  <c r="G81" i="22"/>
  <c r="G80" i="22" s="1"/>
  <c r="H77" i="22"/>
  <c r="G77" i="22"/>
  <c r="H75" i="22"/>
  <c r="G75" i="22"/>
  <c r="H72" i="22"/>
  <c r="H71" i="22" s="1"/>
  <c r="G72" i="22"/>
  <c r="G71" i="22" s="1"/>
  <c r="H69" i="22"/>
  <c r="G68" i="22"/>
  <c r="G67" i="22" s="1"/>
  <c r="H66" i="22"/>
  <c r="H65" i="22" s="1"/>
  <c r="G65" i="22"/>
  <c r="G64" i="22" s="1"/>
  <c r="H64" i="22" s="1"/>
  <c r="H63" i="22"/>
  <c r="H62" i="22" s="1"/>
  <c r="G62" i="22"/>
  <c r="H61" i="22"/>
  <c r="H60" i="22" s="1"/>
  <c r="G60" i="22"/>
  <c r="H59" i="22"/>
  <c r="H58" i="22" s="1"/>
  <c r="G58" i="22"/>
  <c r="H57" i="22"/>
  <c r="H56" i="22" s="1"/>
  <c r="G57" i="22"/>
  <c r="G56" i="22" s="1"/>
  <c r="H50" i="22"/>
  <c r="H49" i="22" s="1"/>
  <c r="G50" i="22"/>
  <c r="G49" i="22" s="1"/>
  <c r="G48" i="22"/>
  <c r="H48" i="22" s="1"/>
  <c r="G25" i="21" s="1"/>
  <c r="G24" i="21" s="1"/>
  <c r="G23" i="21" s="1"/>
  <c r="G43" i="22"/>
  <c r="G42" i="22" s="1"/>
  <c r="H40" i="22"/>
  <c r="H39" i="22" s="1"/>
  <c r="G39" i="22"/>
  <c r="H38" i="22"/>
  <c r="H37" i="22" s="1"/>
  <c r="G37" i="22"/>
  <c r="H29" i="22"/>
  <c r="H28" i="22" s="1"/>
  <c r="H27" i="22" s="1"/>
  <c r="H26" i="22" s="1"/>
  <c r="H25" i="22" s="1"/>
  <c r="G29" i="22"/>
  <c r="G28" i="22" s="1"/>
  <c r="G27" i="22" s="1"/>
  <c r="G26" i="22" s="1"/>
  <c r="G25" i="22" s="1"/>
  <c r="H23" i="22"/>
  <c r="H22" i="22" s="1"/>
  <c r="G23" i="22"/>
  <c r="G22" i="22" s="1"/>
  <c r="H20" i="22"/>
  <c r="G20" i="22"/>
  <c r="H19" i="22"/>
  <c r="H18" i="22" s="1"/>
  <c r="G18" i="22"/>
  <c r="H17" i="22"/>
  <c r="H16" i="22" s="1"/>
  <c r="G16" i="22"/>
  <c r="G969" i="21"/>
  <c r="G968" i="21" s="1"/>
  <c r="G967" i="21" s="1"/>
  <c r="G966" i="21" s="1"/>
  <c r="G965" i="21" s="1"/>
  <c r="F969" i="21"/>
  <c r="F968" i="21" s="1"/>
  <c r="F967" i="21" s="1"/>
  <c r="F966" i="21" s="1"/>
  <c r="F965" i="21" s="1"/>
  <c r="F964" i="21"/>
  <c r="F963" i="21" s="1"/>
  <c r="F962" i="21" s="1"/>
  <c r="F961" i="21"/>
  <c r="F960" i="21" s="1"/>
  <c r="F959" i="21"/>
  <c r="F958" i="21" s="1"/>
  <c r="F957" i="21"/>
  <c r="F956" i="21" s="1"/>
  <c r="G948" i="21"/>
  <c r="G947" i="21" s="1"/>
  <c r="F948" i="21"/>
  <c r="F947" i="21" s="1"/>
  <c r="F943" i="21"/>
  <c r="F942" i="21" s="1"/>
  <c r="F941" i="21" s="1"/>
  <c r="F938" i="21"/>
  <c r="F937" i="21" s="1"/>
  <c r="F936" i="21"/>
  <c r="F935" i="21" s="1"/>
  <c r="F931" i="21"/>
  <c r="F930" i="21" s="1"/>
  <c r="F929" i="21" s="1"/>
  <c r="F928" i="21"/>
  <c r="F927" i="21" s="1"/>
  <c r="F926" i="21" s="1"/>
  <c r="G922" i="21"/>
  <c r="G921" i="21" s="1"/>
  <c r="G920" i="21" s="1"/>
  <c r="G919" i="21" s="1"/>
  <c r="G918" i="21" s="1"/>
  <c r="F922" i="21"/>
  <c r="F921" i="21" s="1"/>
  <c r="F920" i="21" s="1"/>
  <c r="F919" i="21" s="1"/>
  <c r="F918" i="21" s="1"/>
  <c r="G917" i="21"/>
  <c r="G916" i="21" s="1"/>
  <c r="G915" i="21" s="1"/>
  <c r="G914" i="21" s="1"/>
  <c r="G913" i="21" s="1"/>
  <c r="F917" i="21"/>
  <c r="F916" i="21" s="1"/>
  <c r="F915" i="21" s="1"/>
  <c r="F914" i="21" s="1"/>
  <c r="F913" i="21" s="1"/>
  <c r="F908" i="21"/>
  <c r="F907" i="21" s="1"/>
  <c r="F906" i="21" s="1"/>
  <c r="G905" i="21"/>
  <c r="F905" i="21"/>
  <c r="G904" i="21"/>
  <c r="F904" i="21"/>
  <c r="G903" i="21"/>
  <c r="F903" i="21"/>
  <c r="F898" i="21"/>
  <c r="F897" i="21" s="1"/>
  <c r="F896" i="21" s="1"/>
  <c r="G895" i="21"/>
  <c r="F895" i="21"/>
  <c r="G894" i="21"/>
  <c r="F894" i="21"/>
  <c r="G893" i="21"/>
  <c r="F893" i="21"/>
  <c r="F891" i="21"/>
  <c r="F890" i="21" s="1"/>
  <c r="F889" i="21" s="1"/>
  <c r="F888" i="21" s="1"/>
  <c r="F879" i="21"/>
  <c r="F878" i="21" s="1"/>
  <c r="G877" i="21"/>
  <c r="G876" i="21" s="1"/>
  <c r="F877" i="21"/>
  <c r="F876" i="21" s="1"/>
  <c r="G871" i="21"/>
  <c r="G870" i="21" s="1"/>
  <c r="G869" i="21" s="1"/>
  <c r="G868" i="21" s="1"/>
  <c r="G867" i="21" s="1"/>
  <c r="G866" i="21" s="1"/>
  <c r="F871" i="21"/>
  <c r="F870" i="21" s="1"/>
  <c r="F869" i="21" s="1"/>
  <c r="F868" i="21" s="1"/>
  <c r="F867" i="21" s="1"/>
  <c r="F866" i="21" s="1"/>
  <c r="G865" i="21"/>
  <c r="G864" i="21" s="1"/>
  <c r="G863" i="21" s="1"/>
  <c r="F865" i="21"/>
  <c r="F864" i="21" s="1"/>
  <c r="F863" i="21" s="1"/>
  <c r="G857" i="21"/>
  <c r="G856" i="21" s="1"/>
  <c r="G855" i="21" s="1"/>
  <c r="G854" i="21" s="1"/>
  <c r="F857" i="21"/>
  <c r="F856" i="21" s="1"/>
  <c r="F855" i="21" s="1"/>
  <c r="F854" i="21" s="1"/>
  <c r="F853" i="21"/>
  <c r="F852" i="21" s="1"/>
  <c r="F851" i="21"/>
  <c r="F850" i="21" s="1"/>
  <c r="F849" i="21" s="1"/>
  <c r="F847" i="21"/>
  <c r="F846" i="21" s="1"/>
  <c r="F845" i="21" s="1"/>
  <c r="F835" i="21"/>
  <c r="F834" i="21" s="1"/>
  <c r="F833" i="21" s="1"/>
  <c r="F832" i="21" s="1"/>
  <c r="F831" i="21" s="1"/>
  <c r="F830" i="21" s="1"/>
  <c r="D42" i="20" s="1"/>
  <c r="G828" i="21"/>
  <c r="G827" i="21" s="1"/>
  <c r="G826" i="21" s="1"/>
  <c r="G825" i="21" s="1"/>
  <c r="G824" i="21" s="1"/>
  <c r="F828" i="21"/>
  <c r="F827" i="21" s="1"/>
  <c r="F826" i="21" s="1"/>
  <c r="F824" i="21" s="1"/>
  <c r="G823" i="21"/>
  <c r="G822" i="21" s="1"/>
  <c r="G821" i="21" s="1"/>
  <c r="G820" i="21" s="1"/>
  <c r="G819" i="21" s="1"/>
  <c r="G818" i="21" s="1"/>
  <c r="F810" i="21"/>
  <c r="F809" i="21" s="1"/>
  <c r="F805" i="21"/>
  <c r="F804" i="21" s="1"/>
  <c r="F803" i="21" s="1"/>
  <c r="G802" i="21"/>
  <c r="F802" i="21"/>
  <c r="G801" i="21"/>
  <c r="F801" i="21"/>
  <c r="F800" i="21"/>
  <c r="F799" i="21" s="1"/>
  <c r="F798" i="21" s="1"/>
  <c r="G794" i="21"/>
  <c r="G793" i="21" s="1"/>
  <c r="G792" i="21" s="1"/>
  <c r="G791" i="21" s="1"/>
  <c r="G790" i="21" s="1"/>
  <c r="F794" i="21"/>
  <c r="F793" i="21" s="1"/>
  <c r="F792" i="21" s="1"/>
  <c r="F791" i="21" s="1"/>
  <c r="F790" i="21" s="1"/>
  <c r="G789" i="21"/>
  <c r="G788" i="21" s="1"/>
  <c r="G787" i="21" s="1"/>
  <c r="G786" i="21" s="1"/>
  <c r="G785" i="21" s="1"/>
  <c r="F789" i="21"/>
  <c r="F788" i="21" s="1"/>
  <c r="F787" i="21" s="1"/>
  <c r="F786" i="21" s="1"/>
  <c r="F785" i="21" s="1"/>
  <c r="G784" i="21"/>
  <c r="G783" i="21" s="1"/>
  <c r="G782" i="21" s="1"/>
  <c r="G781" i="21" s="1"/>
  <c r="F784" i="21"/>
  <c r="F783" i="21" s="1"/>
  <c r="F782" i="21" s="1"/>
  <c r="F781" i="21" s="1"/>
  <c r="G780" i="21"/>
  <c r="G779" i="21" s="1"/>
  <c r="G778" i="21" s="1"/>
  <c r="G777" i="21" s="1"/>
  <c r="F780" i="21"/>
  <c r="F779" i="21" s="1"/>
  <c r="F778" i="21" s="1"/>
  <c r="F777" i="21" s="1"/>
  <c r="G772" i="21"/>
  <c r="G771" i="21" s="1"/>
  <c r="G770" i="21" s="1"/>
  <c r="G769" i="21" s="1"/>
  <c r="F772" i="21"/>
  <c r="F771" i="21" s="1"/>
  <c r="F770" i="21" s="1"/>
  <c r="F769" i="21" s="1"/>
  <c r="F768" i="21"/>
  <c r="F767" i="21" s="1"/>
  <c r="F766" i="21" s="1"/>
  <c r="F765" i="21"/>
  <c r="F764" i="21" s="1"/>
  <c r="F763" i="21" s="1"/>
  <c r="F761" i="21"/>
  <c r="F760" i="21" s="1"/>
  <c r="F759" i="21" s="1"/>
  <c r="F758" i="21" s="1"/>
  <c r="G755" i="21"/>
  <c r="F755" i="21"/>
  <c r="G754" i="21"/>
  <c r="F754" i="21"/>
  <c r="F751" i="21"/>
  <c r="F750" i="21" s="1"/>
  <c r="F749" i="21"/>
  <c r="F748" i="21" s="1"/>
  <c r="F747" i="21"/>
  <c r="F746" i="21" s="1"/>
  <c r="G740" i="21"/>
  <c r="G739" i="21" s="1"/>
  <c r="G738" i="21" s="1"/>
  <c r="F740" i="21"/>
  <c r="F739" i="21" s="1"/>
  <c r="F738" i="21" s="1"/>
  <c r="F733" i="21"/>
  <c r="F732" i="21" s="1"/>
  <c r="F729" i="21"/>
  <c r="F728" i="21" s="1"/>
  <c r="F727" i="21" s="1"/>
  <c r="F726" i="21" s="1"/>
  <c r="F719" i="21"/>
  <c r="F718" i="21" s="1"/>
  <c r="G713" i="21"/>
  <c r="G712" i="21" s="1"/>
  <c r="G711" i="21" s="1"/>
  <c r="G710" i="21" s="1"/>
  <c r="G709" i="21" s="1"/>
  <c r="F713" i="21"/>
  <c r="F712" i="21" s="1"/>
  <c r="F711" i="21" s="1"/>
  <c r="F710" i="21" s="1"/>
  <c r="F709" i="21" s="1"/>
  <c r="G704" i="21"/>
  <c r="G703" i="21" s="1"/>
  <c r="F704" i="21"/>
  <c r="F703" i="21" s="1"/>
  <c r="F698" i="21"/>
  <c r="G698" i="21" s="1"/>
  <c r="F697" i="21"/>
  <c r="G697" i="21" s="1"/>
  <c r="F696" i="21"/>
  <c r="G696" i="21" s="1"/>
  <c r="G688" i="21"/>
  <c r="G687" i="21" s="1"/>
  <c r="G686" i="21" s="1"/>
  <c r="F688" i="21"/>
  <c r="F687" i="21" s="1"/>
  <c r="F686" i="21" s="1"/>
  <c r="G685" i="21"/>
  <c r="G684" i="21" s="1"/>
  <c r="G683" i="21" s="1"/>
  <c r="F685" i="21"/>
  <c r="F684" i="21" s="1"/>
  <c r="F683" i="21" s="1"/>
  <c r="G680" i="21"/>
  <c r="G679" i="21" s="1"/>
  <c r="G678" i="21" s="1"/>
  <c r="G676" i="21" s="1"/>
  <c r="F680" i="21"/>
  <c r="F679" i="21" s="1"/>
  <c r="F678" i="21" s="1"/>
  <c r="F676" i="21" s="1"/>
  <c r="F672" i="21"/>
  <c r="F671" i="21" s="1"/>
  <c r="F670" i="21" s="1"/>
  <c r="F669" i="21"/>
  <c r="F668" i="21" s="1"/>
  <c r="F667" i="21" s="1"/>
  <c r="F665" i="21"/>
  <c r="F664" i="21" s="1"/>
  <c r="F663" i="21" s="1"/>
  <c r="F662" i="21" s="1"/>
  <c r="F661" i="21"/>
  <c r="G661" i="21" s="1"/>
  <c r="F660" i="21"/>
  <c r="G660" i="21" s="1"/>
  <c r="F650" i="21"/>
  <c r="F649" i="21" s="1"/>
  <c r="F648" i="21"/>
  <c r="F647" i="21" s="1"/>
  <c r="G643" i="21"/>
  <c r="G642" i="21" s="1"/>
  <c r="G641" i="21" s="1"/>
  <c r="G640" i="21" s="1"/>
  <c r="F643" i="21"/>
  <c r="F642" i="21" s="1"/>
  <c r="F641" i="21" s="1"/>
  <c r="F640" i="21" s="1"/>
  <c r="F639" i="21"/>
  <c r="G639" i="21" s="1"/>
  <c r="F638" i="21"/>
  <c r="G638" i="21" s="1"/>
  <c r="F637" i="21"/>
  <c r="G637" i="21" s="1"/>
  <c r="G636" i="21" s="1"/>
  <c r="F632" i="21"/>
  <c r="F631" i="21" s="1"/>
  <c r="F630" i="21" s="1"/>
  <c r="F629" i="21"/>
  <c r="F628" i="21" s="1"/>
  <c r="F627" i="21" s="1"/>
  <c r="F625" i="21"/>
  <c r="F624" i="21" s="1"/>
  <c r="F623" i="21" s="1"/>
  <c r="F622" i="21" s="1"/>
  <c r="G619" i="21"/>
  <c r="G618" i="21" s="1"/>
  <c r="G617" i="21" s="1"/>
  <c r="G616" i="21" s="1"/>
  <c r="G615" i="21" s="1"/>
  <c r="F619" i="21"/>
  <c r="F618" i="21" s="1"/>
  <c r="F617" i="21" s="1"/>
  <c r="F616" i="21" s="1"/>
  <c r="F615" i="21" s="1"/>
  <c r="G600" i="21"/>
  <c r="G599" i="21" s="1"/>
  <c r="F600" i="21"/>
  <c r="F599" i="21" s="1"/>
  <c r="G598" i="21"/>
  <c r="G597" i="21" s="1"/>
  <c r="G596" i="21" s="1"/>
  <c r="F598" i="21"/>
  <c r="F597" i="21" s="1"/>
  <c r="F596" i="21" s="1"/>
  <c r="G594" i="21"/>
  <c r="G593" i="21" s="1"/>
  <c r="G592" i="21" s="1"/>
  <c r="G591" i="21" s="1"/>
  <c r="F594" i="21"/>
  <c r="F593" i="21" s="1"/>
  <c r="F592" i="21" s="1"/>
  <c r="F591" i="21" s="1"/>
  <c r="G590" i="21"/>
  <c r="G589" i="21" s="1"/>
  <c r="G588" i="21" s="1"/>
  <c r="G587" i="21" s="1"/>
  <c r="F590" i="21"/>
  <c r="F589" i="21" s="1"/>
  <c r="F588" i="21" s="1"/>
  <c r="F587" i="21" s="1"/>
  <c r="F586" i="21"/>
  <c r="F585" i="21" s="1"/>
  <c r="F584" i="21" s="1"/>
  <c r="G566" i="21"/>
  <c r="G565" i="21" s="1"/>
  <c r="G564" i="21" s="1"/>
  <c r="F566" i="21"/>
  <c r="F565" i="21" s="1"/>
  <c r="F564" i="21" s="1"/>
  <c r="F560" i="21"/>
  <c r="F559" i="21" s="1"/>
  <c r="F558" i="21" s="1"/>
  <c r="G557" i="21"/>
  <c r="G556" i="21" s="1"/>
  <c r="G555" i="21" s="1"/>
  <c r="F557" i="21"/>
  <c r="F556" i="21" s="1"/>
  <c r="F555" i="21" s="1"/>
  <c r="F554" i="21"/>
  <c r="F553" i="21" s="1"/>
  <c r="F552" i="21" s="1"/>
  <c r="G551" i="21"/>
  <c r="G550" i="21" s="1"/>
  <c r="G549" i="21" s="1"/>
  <c r="F551" i="21"/>
  <c r="F550" i="21" s="1"/>
  <c r="F549" i="21" s="1"/>
  <c r="F547" i="21"/>
  <c r="F546" i="21" s="1"/>
  <c r="F545" i="21" s="1"/>
  <c r="F544" i="21" s="1"/>
  <c r="G541" i="21"/>
  <c r="G540" i="21" s="1"/>
  <c r="G539" i="21" s="1"/>
  <c r="G538" i="21" s="1"/>
  <c r="G537" i="21" s="1"/>
  <c r="F541" i="21"/>
  <c r="F540" i="21" s="1"/>
  <c r="F539" i="21" s="1"/>
  <c r="F538" i="21" s="1"/>
  <c r="F537" i="21" s="1"/>
  <c r="G536" i="21"/>
  <c r="G535" i="21" s="1"/>
  <c r="G534" i="21" s="1"/>
  <c r="G533" i="21" s="1"/>
  <c r="G532" i="21" s="1"/>
  <c r="F536" i="21"/>
  <c r="F535" i="21" s="1"/>
  <c r="F534" i="21" s="1"/>
  <c r="F533" i="21" s="1"/>
  <c r="F532" i="21" s="1"/>
  <c r="G531" i="21"/>
  <c r="G530" i="21" s="1"/>
  <c r="G529" i="21" s="1"/>
  <c r="G528" i="21"/>
  <c r="G527" i="21" s="1"/>
  <c r="G526" i="21" s="1"/>
  <c r="F528" i="21"/>
  <c r="F527" i="21" s="1"/>
  <c r="F526" i="21" s="1"/>
  <c r="G524" i="21"/>
  <c r="G523" i="21" s="1"/>
  <c r="G522" i="21" s="1"/>
  <c r="F524" i="21"/>
  <c r="F523" i="21" s="1"/>
  <c r="F522" i="21" s="1"/>
  <c r="F514" i="21"/>
  <c r="F513" i="21" s="1"/>
  <c r="F512" i="21" s="1"/>
  <c r="G497" i="21"/>
  <c r="G496" i="21" s="1"/>
  <c r="G495" i="21" s="1"/>
  <c r="F497" i="21"/>
  <c r="F496" i="21" s="1"/>
  <c r="F495" i="21" s="1"/>
  <c r="F491" i="21"/>
  <c r="F490" i="21" s="1"/>
  <c r="F489" i="21" s="1"/>
  <c r="F488" i="21"/>
  <c r="F487" i="21" s="1"/>
  <c r="F486" i="21" s="1"/>
  <c r="F484" i="21"/>
  <c r="F483" i="21" s="1"/>
  <c r="F482" i="21" s="1"/>
  <c r="F481" i="21" s="1"/>
  <c r="G477" i="21"/>
  <c r="G476" i="21" s="1"/>
  <c r="G475" i="21" s="1"/>
  <c r="G474" i="21" s="1"/>
  <c r="G473" i="21" s="1"/>
  <c r="F477" i="21"/>
  <c r="F476" i="21" s="1"/>
  <c r="F475" i="21" s="1"/>
  <c r="F474" i="21" s="1"/>
  <c r="F473" i="21" s="1"/>
  <c r="F472" i="21"/>
  <c r="F471" i="21" s="1"/>
  <c r="F470" i="21" s="1"/>
  <c r="F469" i="21"/>
  <c r="F468" i="21" s="1"/>
  <c r="F467" i="21"/>
  <c r="F466" i="21" s="1"/>
  <c r="F463" i="21"/>
  <c r="G463" i="21" s="1"/>
  <c r="F462" i="21"/>
  <c r="G462" i="21" s="1"/>
  <c r="F461" i="21"/>
  <c r="G461" i="21" s="1"/>
  <c r="F460" i="21"/>
  <c r="F459" i="21" s="1"/>
  <c r="F458" i="21" s="1"/>
  <c r="F455" i="21"/>
  <c r="F454" i="21" s="1"/>
  <c r="F453" i="21" s="1"/>
  <c r="F448" i="21"/>
  <c r="F447" i="21" s="1"/>
  <c r="G437" i="21"/>
  <c r="G436" i="21" s="1"/>
  <c r="G435" i="21" s="1"/>
  <c r="F437" i="21"/>
  <c r="F436" i="21" s="1"/>
  <c r="F435" i="21" s="1"/>
  <c r="F434" i="21"/>
  <c r="G430" i="21"/>
  <c r="G429" i="21" s="1"/>
  <c r="G428" i="21" s="1"/>
  <c r="F430" i="21"/>
  <c r="F429" i="21" s="1"/>
  <c r="F428" i="21" s="1"/>
  <c r="G427" i="21"/>
  <c r="G426" i="21" s="1"/>
  <c r="G425" i="21" s="1"/>
  <c r="G422" i="21"/>
  <c r="G421" i="21" s="1"/>
  <c r="G419" i="21"/>
  <c r="G418" i="21" s="1"/>
  <c r="G417" i="21" s="1"/>
  <c r="F419" i="21"/>
  <c r="F418" i="21" s="1"/>
  <c r="F417" i="21" s="1"/>
  <c r="G416" i="21"/>
  <c r="G415" i="21" s="1"/>
  <c r="G414" i="21" s="1"/>
  <c r="F416" i="21"/>
  <c r="F415" i="21" s="1"/>
  <c r="F414" i="21" s="1"/>
  <c r="G413" i="21"/>
  <c r="F413" i="21"/>
  <c r="G412" i="21"/>
  <c r="F412" i="21"/>
  <c r="G411" i="21"/>
  <c r="F411" i="21"/>
  <c r="G410" i="21"/>
  <c r="G409" i="21" s="1"/>
  <c r="G408" i="21" s="1"/>
  <c r="F410" i="21"/>
  <c r="F409" i="21" s="1"/>
  <c r="F408" i="21" s="1"/>
  <c r="G407" i="21"/>
  <c r="G406" i="21" s="1"/>
  <c r="G405" i="21" s="1"/>
  <c r="F407" i="21"/>
  <c r="F406" i="21" s="1"/>
  <c r="F405" i="21" s="1"/>
  <c r="G403" i="21"/>
  <c r="G402" i="21" s="1"/>
  <c r="G401" i="21" s="1"/>
  <c r="G400" i="21" s="1"/>
  <c r="F403" i="21"/>
  <c r="F402" i="21" s="1"/>
  <c r="F401" i="21" s="1"/>
  <c r="F400" i="21" s="1"/>
  <c r="G392" i="21"/>
  <c r="G391" i="21" s="1"/>
  <c r="G390" i="21" s="1"/>
  <c r="G389" i="21" s="1"/>
  <c r="G388" i="21" s="1"/>
  <c r="F392" i="21"/>
  <c r="F391" i="21" s="1"/>
  <c r="F390" i="21" s="1"/>
  <c r="F389" i="21" s="1"/>
  <c r="F388" i="21" s="1"/>
  <c r="F387" i="21"/>
  <c r="G387" i="21" s="1"/>
  <c r="F386" i="21"/>
  <c r="G386" i="21" s="1"/>
  <c r="F385" i="21"/>
  <c r="G385" i="21" s="1"/>
  <c r="G384" i="21" s="1"/>
  <c r="F383" i="21"/>
  <c r="G383" i="21" s="1"/>
  <c r="F382" i="21"/>
  <c r="G382" i="21" s="1"/>
  <c r="F381" i="21"/>
  <c r="G381" i="21" s="1"/>
  <c r="G380" i="21" s="1"/>
  <c r="F379" i="21"/>
  <c r="G379" i="21" s="1"/>
  <c r="F378" i="21"/>
  <c r="G378" i="21" s="1"/>
  <c r="F377" i="21"/>
  <c r="G377" i="21" s="1"/>
  <c r="G376" i="21" s="1"/>
  <c r="F375" i="21"/>
  <c r="G375" i="21" s="1"/>
  <c r="F374" i="21"/>
  <c r="G374" i="21" s="1"/>
  <c r="F373" i="21"/>
  <c r="G373" i="21" s="1"/>
  <c r="G372" i="21" s="1"/>
  <c r="F371" i="21"/>
  <c r="G371" i="21" s="1"/>
  <c r="F370" i="21"/>
  <c r="G370" i="21" s="1"/>
  <c r="F369" i="21"/>
  <c r="G369" i="21" s="1"/>
  <c r="G368" i="21" s="1"/>
  <c r="F367" i="21"/>
  <c r="G367" i="21" s="1"/>
  <c r="F366" i="21"/>
  <c r="G366" i="21" s="1"/>
  <c r="F365" i="21"/>
  <c r="G365" i="21" s="1"/>
  <c r="G364" i="21" s="1"/>
  <c r="G363" i="21"/>
  <c r="G362" i="21" s="1"/>
  <c r="G361" i="21" s="1"/>
  <c r="G360" i="21" s="1"/>
  <c r="F363" i="21"/>
  <c r="F362" i="21" s="1"/>
  <c r="F361" i="21" s="1"/>
  <c r="F360" i="21" s="1"/>
  <c r="F358" i="21"/>
  <c r="G358" i="21" s="1"/>
  <c r="F357" i="21"/>
  <c r="G357" i="21" s="1"/>
  <c r="F356" i="21"/>
  <c r="G356" i="21" s="1"/>
  <c r="F355" i="21"/>
  <c r="G355" i="21" s="1"/>
  <c r="F354" i="21"/>
  <c r="G354" i="21" s="1"/>
  <c r="F353" i="21"/>
  <c r="G353" i="21" s="1"/>
  <c r="F352" i="21"/>
  <c r="G352" i="21" s="1"/>
  <c r="F351" i="21"/>
  <c r="G351" i="21" s="1"/>
  <c r="F350" i="21"/>
  <c r="G350" i="21" s="1"/>
  <c r="F349" i="21"/>
  <c r="G349" i="21" s="1"/>
  <c r="F348" i="21"/>
  <c r="G348" i="21" s="1"/>
  <c r="F347" i="21"/>
  <c r="G347" i="21" s="1"/>
  <c r="F346" i="21"/>
  <c r="G346" i="21" s="1"/>
  <c r="F345" i="21"/>
  <c r="G345" i="21" s="1"/>
  <c r="F344" i="21"/>
  <c r="G344" i="21" s="1"/>
  <c r="F343" i="21"/>
  <c r="G343" i="21" s="1"/>
  <c r="F341" i="21"/>
  <c r="G341" i="21" s="1"/>
  <c r="F340" i="21"/>
  <c r="G340" i="21" s="1"/>
  <c r="F334" i="21"/>
  <c r="G334" i="21" s="1"/>
  <c r="F322" i="21"/>
  <c r="G322" i="21" s="1"/>
  <c r="F321" i="21"/>
  <c r="G321" i="21" s="1"/>
  <c r="F320" i="21"/>
  <c r="G320" i="21" s="1"/>
  <c r="F319" i="21"/>
  <c r="G319" i="21" s="1"/>
  <c r="F318" i="21"/>
  <c r="G318" i="21" s="1"/>
  <c r="F313" i="21"/>
  <c r="F312" i="21" s="1"/>
  <c r="F311" i="21" s="1"/>
  <c r="F310" i="21" s="1"/>
  <c r="F309" i="21" s="1"/>
  <c r="G308" i="21"/>
  <c r="G307" i="21" s="1"/>
  <c r="G306" i="21" s="1"/>
  <c r="G305" i="21" s="1"/>
  <c r="F308" i="21"/>
  <c r="F307" i="21" s="1"/>
  <c r="F306" i="21" s="1"/>
  <c r="F305" i="21" s="1"/>
  <c r="F304" i="21"/>
  <c r="G304" i="21" s="1"/>
  <c r="F303" i="21"/>
  <c r="G303" i="21" s="1"/>
  <c r="F302" i="21"/>
  <c r="F301" i="21" s="1"/>
  <c r="F296" i="21"/>
  <c r="G296" i="21" s="1"/>
  <c r="F295" i="21"/>
  <c r="G295" i="21" s="1"/>
  <c r="F294" i="21"/>
  <c r="G294" i="21" s="1"/>
  <c r="G293" i="21" s="1"/>
  <c r="G290" i="21"/>
  <c r="G289" i="21" s="1"/>
  <c r="F282" i="21"/>
  <c r="G282" i="21" s="1"/>
  <c r="F281" i="21"/>
  <c r="G281" i="21" s="1"/>
  <c r="F278" i="21"/>
  <c r="F277" i="21" s="1"/>
  <c r="G274" i="21"/>
  <c r="G273" i="21" s="1"/>
  <c r="G272" i="21" s="1"/>
  <c r="G271" i="21" s="1"/>
  <c r="F274" i="21"/>
  <c r="F273" i="21" s="1"/>
  <c r="F272" i="21" s="1"/>
  <c r="F271" i="21" s="1"/>
  <c r="F268" i="21"/>
  <c r="F267" i="21" s="1"/>
  <c r="F266" i="21" s="1"/>
  <c r="F265" i="21" s="1"/>
  <c r="F264" i="21" s="1"/>
  <c r="F263" i="21" s="1"/>
  <c r="G262" i="21"/>
  <c r="G261" i="21" s="1"/>
  <c r="G260" i="21" s="1"/>
  <c r="G259" i="21" s="1"/>
  <c r="F262" i="21"/>
  <c r="F261" i="21" s="1"/>
  <c r="F260" i="21" s="1"/>
  <c r="F259" i="21" s="1"/>
  <c r="G258" i="21"/>
  <c r="G257" i="21" s="1"/>
  <c r="G256" i="21" s="1"/>
  <c r="F258" i="21"/>
  <c r="F257" i="21" s="1"/>
  <c r="F256" i="21" s="1"/>
  <c r="F243" i="21"/>
  <c r="F242" i="21" s="1"/>
  <c r="F229" i="21"/>
  <c r="G229" i="21" s="1"/>
  <c r="F228" i="21"/>
  <c r="G228" i="21" s="1"/>
  <c r="F227" i="21"/>
  <c r="G227" i="21" s="1"/>
  <c r="G226" i="21" s="1"/>
  <c r="G225" i="21" s="1"/>
  <c r="G224" i="21" s="1"/>
  <c r="G223" i="21" s="1"/>
  <c r="G222" i="21"/>
  <c r="G221" i="21" s="1"/>
  <c r="G220" i="21" s="1"/>
  <c r="G219" i="21" s="1"/>
  <c r="G218" i="21" s="1"/>
  <c r="F222" i="21"/>
  <c r="F221" i="21" s="1"/>
  <c r="F220" i="21" s="1"/>
  <c r="F219" i="21" s="1"/>
  <c r="F218" i="21" s="1"/>
  <c r="G217" i="21"/>
  <c r="G216" i="21" s="1"/>
  <c r="G215" i="21" s="1"/>
  <c r="G214" i="21" s="1"/>
  <c r="G213" i="21" s="1"/>
  <c r="F217" i="21"/>
  <c r="F216" i="21" s="1"/>
  <c r="F215" i="21" s="1"/>
  <c r="F214" i="21" s="1"/>
  <c r="F213" i="21" s="1"/>
  <c r="G212" i="21"/>
  <c r="G211" i="21" s="1"/>
  <c r="G210" i="21" s="1"/>
  <c r="F212" i="21"/>
  <c r="F211" i="21" s="1"/>
  <c r="F210" i="21" s="1"/>
  <c r="F198" i="21"/>
  <c r="F197" i="21" s="1"/>
  <c r="F196" i="21" s="1"/>
  <c r="G192" i="21"/>
  <c r="G191" i="21" s="1"/>
  <c r="G190" i="21" s="1"/>
  <c r="F192" i="21"/>
  <c r="F191" i="21" s="1"/>
  <c r="F190" i="21" s="1"/>
  <c r="G189" i="21"/>
  <c r="G188" i="21" s="1"/>
  <c r="G187" i="21" s="1"/>
  <c r="F189" i="21"/>
  <c r="F188" i="21" s="1"/>
  <c r="F187" i="21" s="1"/>
  <c r="G186" i="21"/>
  <c r="G185" i="21" s="1"/>
  <c r="G184" i="21" s="1"/>
  <c r="G181" i="21"/>
  <c r="G178" i="21" s="1"/>
  <c r="F181" i="21"/>
  <c r="F180" i="21" s="1"/>
  <c r="F179" i="21" s="1"/>
  <c r="F177" i="21" s="1"/>
  <c r="F176" i="21"/>
  <c r="G176" i="21" s="1"/>
  <c r="F175" i="21"/>
  <c r="G175" i="21" s="1"/>
  <c r="F174" i="21"/>
  <c r="G174" i="21" s="1"/>
  <c r="G173" i="21"/>
  <c r="G172" i="21" s="1"/>
  <c r="G171" i="21" s="1"/>
  <c r="G170" i="21" s="1"/>
  <c r="G169" i="21" s="1"/>
  <c r="G168" i="21" s="1"/>
  <c r="F173" i="21"/>
  <c r="F172" i="21" s="1"/>
  <c r="F171" i="21" s="1"/>
  <c r="F170" i="21" s="1"/>
  <c r="F169" i="21" s="1"/>
  <c r="F168" i="21" s="1"/>
  <c r="F167" i="21"/>
  <c r="F166" i="21" s="1"/>
  <c r="F165" i="21" s="1"/>
  <c r="F164" i="21"/>
  <c r="F163" i="21" s="1"/>
  <c r="F162" i="21"/>
  <c r="F161" i="21" s="1"/>
  <c r="G158" i="21"/>
  <c r="G157" i="21" s="1"/>
  <c r="G156" i="21" s="1"/>
  <c r="F158" i="21"/>
  <c r="F157" i="21" s="1"/>
  <c r="F156" i="21" s="1"/>
  <c r="F155" i="21"/>
  <c r="G155" i="21" s="1"/>
  <c r="F154" i="21"/>
  <c r="G154" i="21" s="1"/>
  <c r="F153" i="21"/>
  <c r="G153" i="21" s="1"/>
  <c r="F152" i="21"/>
  <c r="F151" i="21" s="1"/>
  <c r="F150" i="21" s="1"/>
  <c r="F146" i="21"/>
  <c r="F145" i="21" s="1"/>
  <c r="F144" i="21"/>
  <c r="F143" i="21" s="1"/>
  <c r="F141" i="21"/>
  <c r="F140" i="21" s="1"/>
  <c r="F139" i="21" s="1"/>
  <c r="G135" i="21"/>
  <c r="G134" i="21" s="1"/>
  <c r="F135" i="21"/>
  <c r="F134" i="21" s="1"/>
  <c r="G133" i="21"/>
  <c r="G132" i="21" s="1"/>
  <c r="F133" i="21"/>
  <c r="F132" i="21" s="1"/>
  <c r="F127" i="21"/>
  <c r="F126" i="21" s="1"/>
  <c r="F125" i="21" s="1"/>
  <c r="G124" i="21"/>
  <c r="G123" i="21" s="1"/>
  <c r="F124" i="21"/>
  <c r="F123" i="21" s="1"/>
  <c r="F122" i="21"/>
  <c r="F121" i="21" s="1"/>
  <c r="F120" i="21"/>
  <c r="F119" i="21" s="1"/>
  <c r="F116" i="21"/>
  <c r="F115" i="21" s="1"/>
  <c r="F114" i="21" s="1"/>
  <c r="F111" i="21"/>
  <c r="F110" i="21" s="1"/>
  <c r="G101" i="21"/>
  <c r="G100" i="21" s="1"/>
  <c r="G99" i="21" s="1"/>
  <c r="F101" i="21"/>
  <c r="F100" i="21" s="1"/>
  <c r="F99" i="21" s="1"/>
  <c r="G98" i="21"/>
  <c r="G97" i="21" s="1"/>
  <c r="G96" i="21" s="1"/>
  <c r="F98" i="21"/>
  <c r="F97" i="21" s="1"/>
  <c r="F96" i="21" s="1"/>
  <c r="F89" i="21"/>
  <c r="F88" i="21" s="1"/>
  <c r="F87" i="21" s="1"/>
  <c r="F86" i="21" s="1"/>
  <c r="G84" i="21"/>
  <c r="G83" i="21" s="1"/>
  <c r="G82" i="21" s="1"/>
  <c r="F84" i="21"/>
  <c r="F83" i="21" s="1"/>
  <c r="F82" i="21" s="1"/>
  <c r="F81" i="21"/>
  <c r="F80" i="21" s="1"/>
  <c r="F79" i="21"/>
  <c r="F78" i="21" s="1"/>
  <c r="G71" i="21"/>
  <c r="G70" i="21" s="1"/>
  <c r="F71" i="21"/>
  <c r="F70" i="21" s="1"/>
  <c r="G69" i="21"/>
  <c r="G68" i="21" s="1"/>
  <c r="F69" i="21"/>
  <c r="F68" i="21" s="1"/>
  <c r="G66" i="21"/>
  <c r="G65" i="21" s="1"/>
  <c r="G64" i="21" s="1"/>
  <c r="F66" i="21"/>
  <c r="F65" i="21" s="1"/>
  <c r="F64" i="21" s="1"/>
  <c r="F62" i="21"/>
  <c r="F61" i="21" s="1"/>
  <c r="F60" i="21" s="1"/>
  <c r="F59" i="21"/>
  <c r="F58" i="21" s="1"/>
  <c r="F57" i="21" s="1"/>
  <c r="F54" i="21"/>
  <c r="F53" i="21" s="1"/>
  <c r="H46" i="21"/>
  <c r="F44" i="21"/>
  <c r="G44" i="21" s="1"/>
  <c r="F43" i="21"/>
  <c r="G43" i="21" s="1"/>
  <c r="F42" i="21"/>
  <c r="G42" i="21" s="1"/>
  <c r="F41" i="21"/>
  <c r="F40" i="21" s="1"/>
  <c r="F39" i="21"/>
  <c r="F38" i="21" s="1"/>
  <c r="F36" i="21"/>
  <c r="F35" i="21" s="1"/>
  <c r="F34" i="21"/>
  <c r="F33" i="21" s="1"/>
  <c r="G28" i="21"/>
  <c r="G27" i="21" s="1"/>
  <c r="G26" i="21" s="1"/>
  <c r="F28" i="21"/>
  <c r="F27" i="21" s="1"/>
  <c r="F26" i="21" s="1"/>
  <c r="F17" i="21"/>
  <c r="F16" i="21" s="1"/>
  <c r="F15" i="21"/>
  <c r="F14" i="21" s="1"/>
  <c r="G8" i="21"/>
  <c r="E19" i="20"/>
  <c r="D19" i="20"/>
  <c r="E18" i="20"/>
  <c r="D18" i="20"/>
  <c r="D151" i="19"/>
  <c r="D150" i="19" s="1"/>
  <c r="D149" i="19" s="1"/>
  <c r="C151" i="19"/>
  <c r="C150" i="19" s="1"/>
  <c r="C149" i="19" s="1"/>
  <c r="C148" i="19"/>
  <c r="D148" i="19" s="1"/>
  <c r="C147" i="19"/>
  <c r="D147" i="19" s="1"/>
  <c r="C146" i="19"/>
  <c r="D146" i="19" s="1"/>
  <c r="F143" i="19"/>
  <c r="E143" i="19"/>
  <c r="D142" i="19"/>
  <c r="D141" i="19" s="1"/>
  <c r="C142" i="19"/>
  <c r="C141" i="19" s="1"/>
  <c r="D139" i="19"/>
  <c r="C139" i="19"/>
  <c r="F138" i="19"/>
  <c r="E138" i="19"/>
  <c r="D137" i="19"/>
  <c r="C137" i="19"/>
  <c r="D136" i="19"/>
  <c r="E135" i="19"/>
  <c r="D135" i="19"/>
  <c r="E134" i="19"/>
  <c r="D134" i="19"/>
  <c r="C133" i="19"/>
  <c r="F132" i="19"/>
  <c r="E132" i="19"/>
  <c r="F131" i="19"/>
  <c r="E131" i="19"/>
  <c r="F130" i="19"/>
  <c r="E130" i="19"/>
  <c r="C129" i="19"/>
  <c r="D129" i="19" s="1"/>
  <c r="F128" i="19"/>
  <c r="E128" i="19"/>
  <c r="E127" i="19"/>
  <c r="C127" i="19"/>
  <c r="D127" i="19" s="1"/>
  <c r="C125" i="19"/>
  <c r="C124" i="19" s="1"/>
  <c r="D124" i="19"/>
  <c r="E121" i="19"/>
  <c r="C121" i="19"/>
  <c r="D121" i="19" s="1"/>
  <c r="D120" i="19"/>
  <c r="F119" i="19"/>
  <c r="E119" i="19"/>
  <c r="F118" i="19"/>
  <c r="E118" i="19"/>
  <c r="F113" i="19"/>
  <c r="E113" i="19"/>
  <c r="F112" i="19"/>
  <c r="E112" i="19"/>
  <c r="F110" i="19"/>
  <c r="E110" i="19"/>
  <c r="F109" i="19"/>
  <c r="E109" i="19"/>
  <c r="F108" i="19"/>
  <c r="E108" i="19"/>
  <c r="F107" i="19"/>
  <c r="E107" i="19"/>
  <c r="F104" i="19"/>
  <c r="E104" i="19"/>
  <c r="D103" i="19"/>
  <c r="D99" i="19" s="1"/>
  <c r="D98" i="19" s="1"/>
  <c r="F102" i="19"/>
  <c r="E102" i="19"/>
  <c r="F101" i="19"/>
  <c r="F100" i="19"/>
  <c r="E100" i="19"/>
  <c r="C99" i="19"/>
  <c r="C98" i="19" s="1"/>
  <c r="D96" i="19"/>
  <c r="C96" i="19"/>
  <c r="D94" i="19"/>
  <c r="C94" i="19"/>
  <c r="D92" i="19"/>
  <c r="C92" i="19"/>
  <c r="D90" i="19"/>
  <c r="C90" i="19"/>
  <c r="E89" i="19"/>
  <c r="D88" i="19"/>
  <c r="C88" i="19"/>
  <c r="D86" i="19"/>
  <c r="C86" i="19"/>
  <c r="D84" i="19"/>
  <c r="C84" i="19"/>
  <c r="D82" i="19"/>
  <c r="C82" i="19"/>
  <c r="D79" i="19"/>
  <c r="C79" i="19"/>
  <c r="D77" i="19"/>
  <c r="C77" i="19"/>
  <c r="D72" i="19"/>
  <c r="D71" i="19" s="1"/>
  <c r="C72" i="19"/>
  <c r="C71" i="19" s="1"/>
  <c r="D69" i="19"/>
  <c r="C69" i="19"/>
  <c r="D67" i="19"/>
  <c r="C67" i="19"/>
  <c r="D65" i="19"/>
  <c r="C65" i="19"/>
  <c r="D61" i="19"/>
  <c r="C61" i="19"/>
  <c r="D59" i="19"/>
  <c r="C59" i="19"/>
  <c r="D56" i="19"/>
  <c r="C56" i="19"/>
  <c r="D55" i="19"/>
  <c r="C55" i="19"/>
  <c r="D53" i="19"/>
  <c r="D52" i="19" s="1"/>
  <c r="D49" i="19" s="1"/>
  <c r="D48" i="19" s="1"/>
  <c r="K48" i="19" s="1"/>
  <c r="C53" i="19"/>
  <c r="C52" i="19" s="1"/>
  <c r="C49" i="19" s="1"/>
  <c r="C48" i="19" s="1"/>
  <c r="I48" i="19" s="1"/>
  <c r="D46" i="19"/>
  <c r="C46" i="19"/>
  <c r="D44" i="19"/>
  <c r="C44" i="19"/>
  <c r="D40" i="19"/>
  <c r="D39" i="19" s="1"/>
  <c r="C40" i="19"/>
  <c r="C39" i="19" s="1"/>
  <c r="D37" i="19"/>
  <c r="C37" i="19"/>
  <c r="D35" i="19"/>
  <c r="C35" i="19"/>
  <c r="D32" i="19"/>
  <c r="C32" i="19"/>
  <c r="D29" i="19"/>
  <c r="C29" i="19"/>
  <c r="D27" i="19"/>
  <c r="C27" i="19"/>
  <c r="D26" i="19"/>
  <c r="D25" i="19" s="1"/>
  <c r="C26" i="19"/>
  <c r="C25" i="19" s="1"/>
  <c r="D23" i="19"/>
  <c r="C23" i="19"/>
  <c r="D20" i="19"/>
  <c r="C20" i="19"/>
  <c r="D18" i="19"/>
  <c r="C18" i="19"/>
  <c r="D11" i="19"/>
  <c r="D10" i="19" s="1"/>
  <c r="C11" i="19"/>
  <c r="C10" i="19" s="1"/>
  <c r="F496" i="3" l="1"/>
  <c r="H496" i="3" s="1"/>
  <c r="H497" i="3"/>
  <c r="G144" i="21"/>
  <c r="G143" i="21" s="1"/>
  <c r="G472" i="21"/>
  <c r="G471" i="21" s="1"/>
  <c r="G470" i="21" s="1"/>
  <c r="G467" i="21"/>
  <c r="G466" i="21" s="1"/>
  <c r="G339" i="21"/>
  <c r="G338" i="21" s="1"/>
  <c r="G337" i="21" s="1"/>
  <c r="G39" i="21"/>
  <c r="G38" i="21" s="1"/>
  <c r="G747" i="21"/>
  <c r="G746" i="21" s="1"/>
  <c r="F236" i="21"/>
  <c r="F235" i="21" s="1"/>
  <c r="F234" i="21" s="1"/>
  <c r="G152" i="21"/>
  <c r="G151" i="21" s="1"/>
  <c r="G150" i="21" s="1"/>
  <c r="G149" i="21" s="1"/>
  <c r="G398" i="21"/>
  <c r="G397" i="21" s="1"/>
  <c r="G396" i="21" s="1"/>
  <c r="G395" i="21" s="1"/>
  <c r="G394" i="21" s="1"/>
  <c r="F814" i="21"/>
  <c r="F813" i="21" s="1"/>
  <c r="G116" i="21"/>
  <c r="G115" i="21" s="1"/>
  <c r="G114" i="21" s="1"/>
  <c r="E101" i="19"/>
  <c r="D44" i="20"/>
  <c r="F25" i="21"/>
  <c r="F24" i="21" s="1"/>
  <c r="F23" i="21" s="1"/>
  <c r="F22" i="21" s="1"/>
  <c r="F21" i="21" s="1"/>
  <c r="G455" i="21"/>
  <c r="G454" i="21" s="1"/>
  <c r="G453" i="21" s="1"/>
  <c r="G469" i="21"/>
  <c r="G468" i="21" s="1"/>
  <c r="G560" i="21"/>
  <c r="G559" i="21" s="1"/>
  <c r="G558" i="21" s="1"/>
  <c r="G805" i="21"/>
  <c r="G804" i="21" s="1"/>
  <c r="G803" i="21" s="1"/>
  <c r="G842" i="21"/>
  <c r="G841" i="21" s="1"/>
  <c r="G840" i="21" s="1"/>
  <c r="G839" i="21" s="1"/>
  <c r="G838" i="21" s="1"/>
  <c r="H14" i="23"/>
  <c r="H13" i="23" s="1"/>
  <c r="H12" i="23" s="1"/>
  <c r="H11" i="23" s="1"/>
  <c r="F290" i="21"/>
  <c r="F289" i="21" s="1"/>
  <c r="F427" i="21"/>
  <c r="F426" i="21" s="1"/>
  <c r="F425" i="21" s="1"/>
  <c r="F452" i="21"/>
  <c r="F451" i="21" s="1"/>
  <c r="G460" i="21"/>
  <c r="G459" i="21" s="1"/>
  <c r="G458" i="21" s="1"/>
  <c r="G457" i="21" s="1"/>
  <c r="G629" i="21"/>
  <c r="G628" i="21" s="1"/>
  <c r="G627" i="21" s="1"/>
  <c r="H62" i="21"/>
  <c r="E97" i="19"/>
  <c r="G313" i="21"/>
  <c r="G312" i="21" s="1"/>
  <c r="G311" i="21" s="1"/>
  <c r="G310" i="21" s="1"/>
  <c r="G309" i="21" s="1"/>
  <c r="G484" i="21"/>
  <c r="G483" i="21" s="1"/>
  <c r="G482" i="21" s="1"/>
  <c r="G481" i="21" s="1"/>
  <c r="G761" i="21"/>
  <c r="G760" i="21" s="1"/>
  <c r="G759" i="21" s="1"/>
  <c r="G758" i="21" s="1"/>
  <c r="F950" i="21"/>
  <c r="F949" i="21" s="1"/>
  <c r="F946" i="21" s="1"/>
  <c r="F945" i="21" s="1"/>
  <c r="F944" i="21" s="1"/>
  <c r="H1007" i="22"/>
  <c r="G693" i="23"/>
  <c r="G692" i="23" s="1"/>
  <c r="D17" i="19"/>
  <c r="D16" i="19" s="1"/>
  <c r="K16" i="19" s="1"/>
  <c r="F127" i="19"/>
  <c r="F74" i="21"/>
  <c r="F73" i="21" s="1"/>
  <c r="F659" i="21"/>
  <c r="F658" i="21" s="1"/>
  <c r="F657" i="21" s="1"/>
  <c r="G665" i="21"/>
  <c r="G664" i="21" s="1"/>
  <c r="G663" i="21" s="1"/>
  <c r="G662" i="21" s="1"/>
  <c r="G835" i="21"/>
  <c r="G834" i="21" s="1"/>
  <c r="G833" i="21" s="1"/>
  <c r="G832" i="21" s="1"/>
  <c r="G831" i="21" s="1"/>
  <c r="G830" i="21" s="1"/>
  <c r="E42" i="20" s="1"/>
  <c r="F67" i="21"/>
  <c r="G15" i="21"/>
  <c r="G14" i="21" s="1"/>
  <c r="F280" i="21"/>
  <c r="F279" i="21" s="1"/>
  <c r="F276" i="21" s="1"/>
  <c r="F275" i="21" s="1"/>
  <c r="F270" i="21" s="1"/>
  <c r="F269" i="21" s="1"/>
  <c r="D25" i="20" s="1"/>
  <c r="F735" i="21"/>
  <c r="F734" i="21" s="1"/>
  <c r="G768" i="21"/>
  <c r="G767" i="21" s="1"/>
  <c r="G766" i="21" s="1"/>
  <c r="F901" i="21"/>
  <c r="F900" i="21" s="1"/>
  <c r="F899" i="21" s="1"/>
  <c r="F892" i="21" s="1"/>
  <c r="G780" i="22"/>
  <c r="G779" i="22" s="1"/>
  <c r="G778" i="22" s="1"/>
  <c r="G641" i="23"/>
  <c r="G640" i="23" s="1"/>
  <c r="G639" i="23" s="1"/>
  <c r="G638" i="23" s="1"/>
  <c r="E85" i="19"/>
  <c r="G17" i="21"/>
  <c r="G16" i="21" s="1"/>
  <c r="G89" i="21"/>
  <c r="G88" i="21" s="1"/>
  <c r="G87" i="21" s="1"/>
  <c r="G86" i="21" s="1"/>
  <c r="F398" i="21"/>
  <c r="F397" i="21" s="1"/>
  <c r="F396" i="21" s="1"/>
  <c r="F395" i="21" s="1"/>
  <c r="F394" i="21" s="1"/>
  <c r="G491" i="21"/>
  <c r="G490" i="21" s="1"/>
  <c r="G489" i="21" s="1"/>
  <c r="F501" i="21"/>
  <c r="F500" i="21" s="1"/>
  <c r="F499" i="21" s="1"/>
  <c r="H1051" i="22"/>
  <c r="H1050" i="22" s="1"/>
  <c r="H1049" i="22" s="1"/>
  <c r="G519" i="23"/>
  <c r="H811" i="23"/>
  <c r="H810" i="23" s="1"/>
  <c r="H809" i="23" s="1"/>
  <c r="F20" i="21"/>
  <c r="F19" i="21" s="1"/>
  <c r="F18" i="21" s="1"/>
  <c r="G18" i="21" s="1"/>
  <c r="F531" i="21"/>
  <c r="F530" i="21" s="1"/>
  <c r="F529" i="21" s="1"/>
  <c r="F525" i="21" s="1"/>
  <c r="G898" i="21"/>
  <c r="G897" i="21" s="1"/>
  <c r="G896" i="21" s="1"/>
  <c r="H85" i="22"/>
  <c r="H84" i="22" s="1"/>
  <c r="F129" i="19" s="1"/>
  <c r="H160" i="22"/>
  <c r="H1149" i="22" s="1"/>
  <c r="G237" i="22"/>
  <c r="G306" i="22"/>
  <c r="G305" i="22" s="1"/>
  <c r="G667" i="23"/>
  <c r="G666" i="23" s="1"/>
  <c r="G67" i="21"/>
  <c r="D22" i="19"/>
  <c r="D21" i="19" s="1"/>
  <c r="D64" i="19"/>
  <c r="D63" i="19" s="1"/>
  <c r="D76" i="19"/>
  <c r="G13" i="21"/>
  <c r="G12" i="21" s="1"/>
  <c r="G11" i="21" s="1"/>
  <c r="F95" i="21"/>
  <c r="F94" i="21" s="1"/>
  <c r="G111" i="21"/>
  <c r="G110" i="21" s="1"/>
  <c r="H1025" i="22"/>
  <c r="H1024" i="22" s="1"/>
  <c r="H199" i="23"/>
  <c r="H198" i="23" s="1"/>
  <c r="G81" i="21"/>
  <c r="G80" i="21" s="1"/>
  <c r="G77" i="21" s="1"/>
  <c r="E44" i="20"/>
  <c r="F50" i="21"/>
  <c r="F49" i="21" s="1"/>
  <c r="F579" i="21"/>
  <c r="F578" i="21" s="1"/>
  <c r="F577" i="21" s="1"/>
  <c r="F762" i="21"/>
  <c r="H776" i="22"/>
  <c r="H775" i="22" s="1"/>
  <c r="G127" i="21"/>
  <c r="G126" i="21" s="1"/>
  <c r="G125" i="21" s="1"/>
  <c r="G961" i="21"/>
  <c r="G960" i="21" s="1"/>
  <c r="H230" i="22"/>
  <c r="H404" i="23" s="1"/>
  <c r="C17" i="19"/>
  <c r="C16" i="19" s="1"/>
  <c r="I16" i="19" s="1"/>
  <c r="C22" i="19"/>
  <c r="I22" i="19" s="1"/>
  <c r="F134" i="19"/>
  <c r="G36" i="21"/>
  <c r="G35" i="21" s="1"/>
  <c r="G41" i="21"/>
  <c r="G40" i="21" s="1"/>
  <c r="G54" i="21"/>
  <c r="G53" i="21" s="1"/>
  <c r="G59" i="21"/>
  <c r="G58" i="21" s="1"/>
  <c r="G57" i="21" s="1"/>
  <c r="G120" i="21"/>
  <c r="G119" i="21" s="1"/>
  <c r="G164" i="21"/>
  <c r="G163" i="21" s="1"/>
  <c r="G198" i="21"/>
  <c r="G197" i="21" s="1"/>
  <c r="G196" i="21" s="1"/>
  <c r="F293" i="21"/>
  <c r="G488" i="21"/>
  <c r="G487" i="21" s="1"/>
  <c r="G486" i="21" s="1"/>
  <c r="G547" i="21"/>
  <c r="G546" i="21" s="1"/>
  <c r="G545" i="21" s="1"/>
  <c r="G544" i="21" s="1"/>
  <c r="F656" i="21"/>
  <c r="F655" i="21" s="1"/>
  <c r="F654" i="21" s="1"/>
  <c r="G853" i="21"/>
  <c r="G852" i="21" s="1"/>
  <c r="F862" i="21"/>
  <c r="F861" i="21" s="1"/>
  <c r="F860" i="21" s="1"/>
  <c r="F859" i="21" s="1"/>
  <c r="F858" i="21" s="1"/>
  <c r="G931" i="21"/>
  <c r="G930" i="21" s="1"/>
  <c r="G929" i="21" s="1"/>
  <c r="G957" i="21"/>
  <c r="G956" i="21" s="1"/>
  <c r="H125" i="22"/>
  <c r="H124" i="22" s="1"/>
  <c r="H123" i="22" s="1"/>
  <c r="H122" i="22" s="1"/>
  <c r="H307" i="22"/>
  <c r="G656" i="21" s="1"/>
  <c r="G655" i="21" s="1"/>
  <c r="G654" i="21" s="1"/>
  <c r="H626" i="22"/>
  <c r="H625" i="22" s="1"/>
  <c r="F121" i="19"/>
  <c r="F239" i="21"/>
  <c r="F238" i="21" s="1"/>
  <c r="F237" i="21" s="1"/>
  <c r="H871" i="22"/>
  <c r="G280" i="21" s="1"/>
  <c r="G279" i="21" s="1"/>
  <c r="G1075" i="22"/>
  <c r="H682" i="23"/>
  <c r="H681" i="23" s="1"/>
  <c r="G825" i="23"/>
  <c r="G824" i="23" s="1"/>
  <c r="G819" i="23" s="1"/>
  <c r="F85" i="19"/>
  <c r="G122" i="21"/>
  <c r="G121" i="21" s="1"/>
  <c r="F248" i="21"/>
  <c r="F247" i="21" s="1"/>
  <c r="F246" i="21" s="1"/>
  <c r="F56" i="21"/>
  <c r="F55" i="21" s="1"/>
  <c r="F148" i="21"/>
  <c r="F147" i="21" s="1"/>
  <c r="F142" i="21" s="1"/>
  <c r="F138" i="21" s="1"/>
  <c r="F203" i="21"/>
  <c r="F202" i="21" s="1"/>
  <c r="G202" i="21" s="1"/>
  <c r="G201" i="21" s="1"/>
  <c r="G200" i="21" s="1"/>
  <c r="G278" i="21"/>
  <c r="G277" i="21" s="1"/>
  <c r="F288" i="21"/>
  <c r="F287" i="21" s="1"/>
  <c r="F339" i="21"/>
  <c r="F338" i="21" s="1"/>
  <c r="F337" i="21" s="1"/>
  <c r="F465" i="21"/>
  <c r="F464" i="21" s="1"/>
  <c r="G514" i="21"/>
  <c r="G513" i="21" s="1"/>
  <c r="G512" i="21" s="1"/>
  <c r="G554" i="21"/>
  <c r="G553" i="21" s="1"/>
  <c r="G552" i="21" s="1"/>
  <c r="F570" i="21"/>
  <c r="F569" i="21" s="1"/>
  <c r="F568" i="21" s="1"/>
  <c r="G677" i="21"/>
  <c r="F721" i="21"/>
  <c r="F720" i="21" s="1"/>
  <c r="F717" i="21" s="1"/>
  <c r="F716" i="21" s="1"/>
  <c r="F715" i="21" s="1"/>
  <c r="G847" i="21"/>
  <c r="G846" i="21" s="1"/>
  <c r="G845" i="21" s="1"/>
  <c r="G844" i="21" s="1"/>
  <c r="G229" i="22"/>
  <c r="G228" i="22" s="1"/>
  <c r="G227" i="22" s="1"/>
  <c r="G226" i="22" s="1"/>
  <c r="G297" i="22"/>
  <c r="G296" i="22" s="1"/>
  <c r="G749" i="22"/>
  <c r="H749" i="22" s="1"/>
  <c r="G191" i="23"/>
  <c r="G190" i="23" s="1"/>
  <c r="H594" i="23"/>
  <c r="H593" i="23" s="1"/>
  <c r="H592" i="23" s="1"/>
  <c r="H591" i="23" s="1"/>
  <c r="H590" i="23" s="1"/>
  <c r="G772" i="23"/>
  <c r="G837" i="23"/>
  <c r="G836" i="23" s="1"/>
  <c r="G835" i="23" s="1"/>
  <c r="G834" i="23" s="1"/>
  <c r="F77" i="21"/>
  <c r="F925" i="21"/>
  <c r="F924" i="21" s="1"/>
  <c r="G115" i="22"/>
  <c r="G114" i="22" s="1"/>
  <c r="G113" i="22" s="1"/>
  <c r="G476" i="23"/>
  <c r="G475" i="23" s="1"/>
  <c r="F652" i="21"/>
  <c r="F651" i="21" s="1"/>
  <c r="F646" i="21" s="1"/>
  <c r="F645" i="21" s="1"/>
  <c r="G48" i="23"/>
  <c r="G49" i="23" s="1"/>
  <c r="H350" i="22"/>
  <c r="H349" i="22" s="1"/>
  <c r="H348" i="22" s="1"/>
  <c r="H347" i="22" s="1"/>
  <c r="F702" i="21"/>
  <c r="F701" i="21" s="1"/>
  <c r="F700" i="21" s="1"/>
  <c r="F699" i="21" s="1"/>
  <c r="H485" i="23"/>
  <c r="H484" i="23" s="1"/>
  <c r="H364" i="22"/>
  <c r="G378" i="22"/>
  <c r="G268" i="23"/>
  <c r="G269" i="23" s="1"/>
  <c r="F517" i="21"/>
  <c r="F516" i="21" s="1"/>
  <c r="F515" i="21" s="1"/>
  <c r="F508" i="21" s="1"/>
  <c r="H662" i="22"/>
  <c r="H1090" i="22"/>
  <c r="F113" i="21"/>
  <c r="F112" i="21" s="1"/>
  <c r="F109" i="21" s="1"/>
  <c r="F108" i="21" s="1"/>
  <c r="G1089" i="22"/>
  <c r="G1086" i="22" s="1"/>
  <c r="G1085" i="22" s="1"/>
  <c r="G1084" i="22" s="1"/>
  <c r="G1083" i="22" s="1"/>
  <c r="H94" i="23"/>
  <c r="H93" i="23" s="1"/>
  <c r="H92" i="23" s="1"/>
  <c r="H91" i="23" s="1"/>
  <c r="H90" i="23" s="1"/>
  <c r="H137" i="23"/>
  <c r="H136" i="23" s="1"/>
  <c r="H135" i="23" s="1"/>
  <c r="H134" i="23" s="1"/>
  <c r="H630" i="23"/>
  <c r="H629" i="23" s="1"/>
  <c r="H628" i="23" s="1"/>
  <c r="H716" i="23"/>
  <c r="H715" i="23" s="1"/>
  <c r="H714" i="23" s="1"/>
  <c r="H713" i="23" s="1"/>
  <c r="H712" i="23" s="1"/>
  <c r="D43" i="19"/>
  <c r="D42" i="19" s="1"/>
  <c r="K42" i="19" s="1"/>
  <c r="G146" i="21"/>
  <c r="G145" i="21" s="1"/>
  <c r="F336" i="21"/>
  <c r="G336" i="21" s="1"/>
  <c r="F677" i="21"/>
  <c r="F875" i="21"/>
  <c r="F874" i="21" s="1"/>
  <c r="F873" i="21" s="1"/>
  <c r="F872" i="21" s="1"/>
  <c r="D45" i="20" s="1"/>
  <c r="G936" i="21"/>
  <c r="G935" i="21" s="1"/>
  <c r="G74" i="22"/>
  <c r="E140" i="19" s="1"/>
  <c r="G177" i="22"/>
  <c r="G176" i="22" s="1"/>
  <c r="G175" i="22" s="1"/>
  <c r="H702" i="23"/>
  <c r="H703" i="23" s="1"/>
  <c r="G255" i="21"/>
  <c r="G254" i="21" s="1"/>
  <c r="G253" i="21" s="1"/>
  <c r="G252" i="21" s="1"/>
  <c r="G251" i="21" s="1"/>
  <c r="G250" i="21" s="1"/>
  <c r="E23" i="20" s="1"/>
  <c r="H553" i="23"/>
  <c r="H554" i="23" s="1"/>
  <c r="G672" i="21"/>
  <c r="G671" i="21" s="1"/>
  <c r="G670" i="21" s="1"/>
  <c r="G351" i="22"/>
  <c r="G348" i="22" s="1"/>
  <c r="G347" i="22" s="1"/>
  <c r="H563" i="23"/>
  <c r="H564" i="23" s="1"/>
  <c r="G765" i="21"/>
  <c r="G764" i="21" s="1"/>
  <c r="G763" i="21" s="1"/>
  <c r="H739" i="22"/>
  <c r="G738" i="22"/>
  <c r="G737" i="22" s="1"/>
  <c r="G108" i="23"/>
  <c r="G106" i="23"/>
  <c r="G105" i="23" s="1"/>
  <c r="G157" i="23"/>
  <c r="G155" i="23"/>
  <c r="G154" i="23" s="1"/>
  <c r="G153" i="23" s="1"/>
  <c r="G185" i="23"/>
  <c r="G183" i="23"/>
  <c r="G182" i="23" s="1"/>
  <c r="H295" i="23"/>
  <c r="H294" i="23" s="1"/>
  <c r="H293" i="23" s="1"/>
  <c r="H292" i="23" s="1"/>
  <c r="H291" i="23" s="1"/>
  <c r="G833" i="23"/>
  <c r="G831" i="23"/>
  <c r="G830" i="23" s="1"/>
  <c r="G829" i="23" s="1"/>
  <c r="G828" i="23" s="1"/>
  <c r="C34" i="19"/>
  <c r="C31" i="19" s="1"/>
  <c r="C76" i="19"/>
  <c r="G180" i="21"/>
  <c r="G179" i="21" s="1"/>
  <c r="G177" i="21" s="1"/>
  <c r="F902" i="21"/>
  <c r="H134" i="22"/>
  <c r="H133" i="22" s="1"/>
  <c r="G162" i="21"/>
  <c r="G161" i="21" s="1"/>
  <c r="H139" i="22"/>
  <c r="H138" i="22" s="1"/>
  <c r="G167" i="21"/>
  <c r="G166" i="21" s="1"/>
  <c r="G165" i="21" s="1"/>
  <c r="H488" i="23"/>
  <c r="H489" i="23" s="1"/>
  <c r="G751" i="21"/>
  <c r="G750" i="21" s="1"/>
  <c r="G526" i="22"/>
  <c r="G525" i="22" s="1"/>
  <c r="G524" i="22" s="1"/>
  <c r="G523" i="22" s="1"/>
  <c r="G522" i="22" s="1"/>
  <c r="G521" i="22" s="1"/>
  <c r="F325" i="21"/>
  <c r="F324" i="21" s="1"/>
  <c r="F323" i="21" s="1"/>
  <c r="H807" i="22"/>
  <c r="H806" i="22" s="1"/>
  <c r="H805" i="22" s="1"/>
  <c r="H804" i="22" s="1"/>
  <c r="G928" i="21"/>
  <c r="G927" i="21" s="1"/>
  <c r="G926" i="21" s="1"/>
  <c r="H131" i="23"/>
  <c r="H130" i="23" s="1"/>
  <c r="H129" i="23" s="1"/>
  <c r="H128" i="23" s="1"/>
  <c r="H133" i="23"/>
  <c r="G189" i="23"/>
  <c r="G187" i="23"/>
  <c r="G186" i="23" s="1"/>
  <c r="G311" i="23"/>
  <c r="G309" i="23"/>
  <c r="G308" i="23" s="1"/>
  <c r="G307" i="23" s="1"/>
  <c r="G306" i="23" s="1"/>
  <c r="G305" i="23" s="1"/>
  <c r="G655" i="23"/>
  <c r="G653" i="23"/>
  <c r="G268" i="21"/>
  <c r="G267" i="21" s="1"/>
  <c r="G266" i="21" s="1"/>
  <c r="G265" i="21" s="1"/>
  <c r="G264" i="21" s="1"/>
  <c r="G263" i="21" s="1"/>
  <c r="E24" i="20" s="1"/>
  <c r="F328" i="21"/>
  <c r="F327" i="21" s="1"/>
  <c r="F326" i="21" s="1"/>
  <c r="F745" i="21"/>
  <c r="F744" i="21" s="1"/>
  <c r="G749" i="21"/>
  <c r="G748" i="21" s="1"/>
  <c r="G810" i="21"/>
  <c r="G809" i="21" s="1"/>
  <c r="G938" i="21"/>
  <c r="G937" i="21" s="1"/>
  <c r="H240" i="22"/>
  <c r="H237" i="22" s="1"/>
  <c r="G879" i="21"/>
  <c r="G878" i="21" s="1"/>
  <c r="G875" i="21" s="1"/>
  <c r="G874" i="21" s="1"/>
  <c r="G873" i="21" s="1"/>
  <c r="H549" i="23"/>
  <c r="H548" i="23" s="1"/>
  <c r="H547" i="23" s="1"/>
  <c r="G669" i="21"/>
  <c r="G668" i="21" s="1"/>
  <c r="G667" i="21" s="1"/>
  <c r="H66" i="23"/>
  <c r="H67" i="23" s="1"/>
  <c r="H451" i="22"/>
  <c r="H450" i="22" s="1"/>
  <c r="H449" i="22" s="1"/>
  <c r="H448" i="22" s="1"/>
  <c r="G1044" i="22"/>
  <c r="G1043" i="22" s="1"/>
  <c r="G1042" i="22" s="1"/>
  <c r="G1041" i="22" s="1"/>
  <c r="G1040" i="22" s="1"/>
  <c r="G1039" i="22" s="1"/>
  <c r="G1038" i="22" s="1"/>
  <c r="H1045" i="22"/>
  <c r="G283" i="23"/>
  <c r="G281" i="23"/>
  <c r="G280" i="23" s="1"/>
  <c r="G279" i="23" s="1"/>
  <c r="F595" i="21"/>
  <c r="G729" i="21"/>
  <c r="G728" i="21" s="1"/>
  <c r="G727" i="21" s="1"/>
  <c r="G726" i="21" s="1"/>
  <c r="F940" i="21"/>
  <c r="F939" i="21" s="1"/>
  <c r="F934" i="21" s="1"/>
  <c r="F933" i="21" s="1"/>
  <c r="F932" i="21" s="1"/>
  <c r="H74" i="22"/>
  <c r="F140" i="19" s="1"/>
  <c r="G1051" i="22"/>
  <c r="G1050" i="22" s="1"/>
  <c r="G1049" i="22" s="1"/>
  <c r="H1060" i="22"/>
  <c r="H1059" i="22" s="1"/>
  <c r="H1075" i="22"/>
  <c r="G94" i="23"/>
  <c r="G93" i="23" s="1"/>
  <c r="G92" i="23" s="1"/>
  <c r="G91" i="23" s="1"/>
  <c r="G90" i="23" s="1"/>
  <c r="G137" i="23"/>
  <c r="G136" i="23" s="1"/>
  <c r="G135" i="23" s="1"/>
  <c r="G134" i="23" s="1"/>
  <c r="H614" i="23"/>
  <c r="H613" i="23" s="1"/>
  <c r="H612" i="23" s="1"/>
  <c r="H708" i="23"/>
  <c r="H707" i="23" s="1"/>
  <c r="H706" i="23" s="1"/>
  <c r="H705" i="23" s="1"/>
  <c r="H704" i="23" s="1"/>
  <c r="G716" i="23"/>
  <c r="G715" i="23" s="1"/>
  <c r="G714" i="23" s="1"/>
  <c r="G713" i="23" s="1"/>
  <c r="G712" i="23" s="1"/>
  <c r="H772" i="23"/>
  <c r="H68" i="22"/>
  <c r="H67" i="22" s="1"/>
  <c r="G62" i="21"/>
  <c r="G61" i="21" s="1"/>
  <c r="G60" i="21" s="1"/>
  <c r="H328" i="23"/>
  <c r="H327" i="23" s="1"/>
  <c r="H326" i="23" s="1"/>
  <c r="H325" i="23" s="1"/>
  <c r="H324" i="23" s="1"/>
  <c r="H323" i="23" s="1"/>
  <c r="H329" i="23" s="1"/>
  <c r="G605" i="21"/>
  <c r="G604" i="21" s="1"/>
  <c r="G603" i="21" s="1"/>
  <c r="G602" i="21" s="1"/>
  <c r="H671" i="22"/>
  <c r="H670" i="22" s="1"/>
  <c r="H669" i="22" s="1"/>
  <c r="F97" i="19"/>
  <c r="H604" i="23"/>
  <c r="H602" i="23"/>
  <c r="H601" i="23" s="1"/>
  <c r="H600" i="23" s="1"/>
  <c r="H599" i="23" s="1"/>
  <c r="G682" i="21"/>
  <c r="G681" i="21" s="1"/>
  <c r="G891" i="21"/>
  <c r="G890" i="21" s="1"/>
  <c r="G889" i="21" s="1"/>
  <c r="G888" i="21" s="1"/>
  <c r="G702" i="23"/>
  <c r="G703" i="23" s="1"/>
  <c r="F255" i="21"/>
  <c r="F254" i="21" s="1"/>
  <c r="F253" i="21" s="1"/>
  <c r="F252" i="21" s="1"/>
  <c r="F251" i="21" s="1"/>
  <c r="F250" i="21" s="1"/>
  <c r="D23" i="20" s="1"/>
  <c r="G132" i="23"/>
  <c r="G133" i="23" s="1"/>
  <c r="F823" i="21"/>
  <c r="F822" i="21" s="1"/>
  <c r="F821" i="21" s="1"/>
  <c r="F820" i="21" s="1"/>
  <c r="F819" i="21" s="1"/>
  <c r="F818" i="21" s="1"/>
  <c r="G438" i="22"/>
  <c r="G437" i="22" s="1"/>
  <c r="G436" i="22" s="1"/>
  <c r="G435" i="22" s="1"/>
  <c r="G434" i="22" s="1"/>
  <c r="H733" i="22"/>
  <c r="G719" i="21"/>
  <c r="G718" i="21" s="1"/>
  <c r="H752" i="22"/>
  <c r="G737" i="21" s="1"/>
  <c r="G736" i="21" s="1"/>
  <c r="G731" i="21" s="1"/>
  <c r="G730" i="21" s="1"/>
  <c r="F737" i="21"/>
  <c r="F736" i="21" s="1"/>
  <c r="F76" i="21"/>
  <c r="F75" i="21" s="1"/>
  <c r="G196" i="23"/>
  <c r="G195" i="23" s="1"/>
  <c r="G194" i="23" s="1"/>
  <c r="E120" i="19"/>
  <c r="G273" i="23"/>
  <c r="G274" i="23" s="1"/>
  <c r="F583" i="21"/>
  <c r="F582" i="21" s="1"/>
  <c r="F581" i="21" s="1"/>
  <c r="F580" i="21" s="1"/>
  <c r="G675" i="23"/>
  <c r="G676" i="23" s="1"/>
  <c r="F424" i="21"/>
  <c r="F423" i="21" s="1"/>
  <c r="G983" i="22"/>
  <c r="G980" i="22" s="1"/>
  <c r="G964" i="22" s="1"/>
  <c r="G1009" i="22"/>
  <c r="G1006" i="22" s="1"/>
  <c r="G1005" i="22" s="1"/>
  <c r="G1004" i="22" s="1"/>
  <c r="F450" i="21"/>
  <c r="F449" i="21" s="1"/>
  <c r="H108" i="23"/>
  <c r="H106" i="23"/>
  <c r="H105" i="23" s="1"/>
  <c r="G201" i="23"/>
  <c r="G199" i="23"/>
  <c r="G198" i="23" s="1"/>
  <c r="G813" i="23"/>
  <c r="G811" i="23"/>
  <c r="G810" i="23" s="1"/>
  <c r="G809" i="23" s="1"/>
  <c r="G374" i="23"/>
  <c r="G373" i="23" s="1"/>
  <c r="F93" i="21"/>
  <c r="F92" i="21" s="1"/>
  <c r="G851" i="23"/>
  <c r="G852" i="23" s="1"/>
  <c r="G153" i="22"/>
  <c r="G152" i="22" s="1"/>
  <c r="G151" i="22" s="1"/>
  <c r="G146" i="22" s="1"/>
  <c r="F207" i="21"/>
  <c r="F206" i="21" s="1"/>
  <c r="F205" i="21" s="1"/>
  <c r="F204" i="21" s="1"/>
  <c r="G767" i="23"/>
  <c r="G766" i="23" s="1"/>
  <c r="F186" i="21"/>
  <c r="F185" i="21" s="1"/>
  <c r="F184" i="21" s="1"/>
  <c r="G333" i="22"/>
  <c r="G332" i="22"/>
  <c r="G16" i="23"/>
  <c r="G14" i="23"/>
  <c r="G13" i="23" s="1"/>
  <c r="G355" i="23"/>
  <c r="G353" i="23"/>
  <c r="G352" i="23" s="1"/>
  <c r="H1071" i="22"/>
  <c r="H1070" i="22" s="1"/>
  <c r="G34" i="21"/>
  <c r="G33" i="21" s="1"/>
  <c r="G424" i="23"/>
  <c r="G422" i="23"/>
  <c r="G421" i="23" s="1"/>
  <c r="C64" i="19"/>
  <c r="C63" i="19" s="1"/>
  <c r="F131" i="21"/>
  <c r="F130" i="21" s="1"/>
  <c r="F129" i="21" s="1"/>
  <c r="F128" i="21" s="1"/>
  <c r="D16" i="20" s="1"/>
  <c r="G800" i="21"/>
  <c r="G799" i="21" s="1"/>
  <c r="G798" i="21" s="1"/>
  <c r="G392" i="23"/>
  <c r="G391" i="23" s="1"/>
  <c r="G390" i="23" s="1"/>
  <c r="G389" i="23" s="1"/>
  <c r="G388" i="23" s="1"/>
  <c r="G387" i="23" s="1"/>
  <c r="F105" i="21"/>
  <c r="F104" i="21" s="1"/>
  <c r="F103" i="21" s="1"/>
  <c r="F102" i="21" s="1"/>
  <c r="G81" i="23"/>
  <c r="G80" i="23" s="1"/>
  <c r="G79" i="23" s="1"/>
  <c r="G78" i="23" s="1"/>
  <c r="G77" i="23" s="1"/>
  <c r="G76" i="23" s="1"/>
  <c r="F300" i="21"/>
  <c r="F299" i="21" s="1"/>
  <c r="F298" i="21" s="1"/>
  <c r="F297" i="21" s="1"/>
  <c r="H470" i="23"/>
  <c r="H469" i="23" s="1"/>
  <c r="G648" i="21"/>
  <c r="G647" i="21" s="1"/>
  <c r="G523" i="23"/>
  <c r="G522" i="23" s="1"/>
  <c r="G372" i="22"/>
  <c r="G369" i="22" s="1"/>
  <c r="G368" i="22" s="1"/>
  <c r="F757" i="21"/>
  <c r="F756" i="21" s="1"/>
  <c r="F753" i="21" s="1"/>
  <c r="F752" i="21" s="1"/>
  <c r="H122" i="23"/>
  <c r="H123" i="23" s="1"/>
  <c r="H460" i="22"/>
  <c r="H459" i="22" s="1"/>
  <c r="G851" i="21"/>
  <c r="G850" i="21" s="1"/>
  <c r="G849" i="21" s="1"/>
  <c r="H497" i="23"/>
  <c r="H498" i="23" s="1"/>
  <c r="G959" i="21"/>
  <c r="G958" i="21" s="1"/>
  <c r="H542" i="23"/>
  <c r="H541" i="23" s="1"/>
  <c r="H540" i="23" s="1"/>
  <c r="H539" i="23" s="1"/>
  <c r="H538" i="23" s="1"/>
  <c r="G964" i="21"/>
  <c r="G963" i="21" s="1"/>
  <c r="G962" i="21" s="1"/>
  <c r="H494" i="22"/>
  <c r="G50" i="21"/>
  <c r="G49" i="21" s="1"/>
  <c r="G228" i="23"/>
  <c r="G227" i="23" s="1"/>
  <c r="G226" i="23" s="1"/>
  <c r="G576" i="22"/>
  <c r="G575" i="22" s="1"/>
  <c r="G568" i="22" s="1"/>
  <c r="G289" i="23"/>
  <c r="G288" i="23" s="1"/>
  <c r="G287" i="23" s="1"/>
  <c r="G286" i="23" s="1"/>
  <c r="G285" i="23" s="1"/>
  <c r="G284" i="23" s="1"/>
  <c r="F521" i="21"/>
  <c r="F520" i="21" s="1"/>
  <c r="F519" i="21" s="1"/>
  <c r="F518" i="21" s="1"/>
  <c r="G445" i="23"/>
  <c r="G446" i="23" s="1"/>
  <c r="G791" i="22"/>
  <c r="G790" i="22" s="1"/>
  <c r="G789" i="22" s="1"/>
  <c r="G1124" i="22" s="1"/>
  <c r="H792" i="22"/>
  <c r="H791" i="22" s="1"/>
  <c r="H790" i="22" s="1"/>
  <c r="H789" i="22" s="1"/>
  <c r="H1124" i="22" s="1"/>
  <c r="E136" i="19"/>
  <c r="H837" i="22"/>
  <c r="H836" i="22" s="1"/>
  <c r="G141" i="21"/>
  <c r="G140" i="21" s="1"/>
  <c r="G139" i="21" s="1"/>
  <c r="H104" i="23"/>
  <c r="H102" i="23"/>
  <c r="H101" i="23" s="1"/>
  <c r="H100" i="23" s="1"/>
  <c r="H99" i="23" s="1"/>
  <c r="H98" i="23" s="1"/>
  <c r="H97" i="23" s="1"/>
  <c r="H768" i="23"/>
  <c r="H766" i="23"/>
  <c r="C43" i="19"/>
  <c r="C42" i="19" s="1"/>
  <c r="I42" i="19" s="1"/>
  <c r="D58" i="19"/>
  <c r="G125" i="22"/>
  <c r="G124" i="22" s="1"/>
  <c r="G123" i="22" s="1"/>
  <c r="G122" i="22" s="1"/>
  <c r="G133" i="22"/>
  <c r="G132" i="22" s="1"/>
  <c r="G131" i="22" s="1"/>
  <c r="G208" i="22"/>
  <c r="H473" i="23"/>
  <c r="H472" i="23" s="1"/>
  <c r="G650" i="21"/>
  <c r="G649" i="21" s="1"/>
  <c r="G557" i="23"/>
  <c r="G556" i="23" s="1"/>
  <c r="G555" i="23" s="1"/>
  <c r="H326" i="22"/>
  <c r="F675" i="21"/>
  <c r="F674" i="21" s="1"/>
  <c r="F673" i="21" s="1"/>
  <c r="F666" i="21" s="1"/>
  <c r="G37" i="23"/>
  <c r="G38" i="23" s="1"/>
  <c r="F695" i="21"/>
  <c r="F694" i="21" s="1"/>
  <c r="F693" i="21" s="1"/>
  <c r="F692" i="21" s="1"/>
  <c r="H343" i="22"/>
  <c r="H342" i="22" s="1"/>
  <c r="H341" i="22" s="1"/>
  <c r="H340" i="22" s="1"/>
  <c r="G427" i="22"/>
  <c r="G424" i="22" s="1"/>
  <c r="G423" i="22" s="1"/>
  <c r="G422" i="22" s="1"/>
  <c r="F812" i="21"/>
  <c r="F811" i="21" s="1"/>
  <c r="G66" i="23"/>
  <c r="G65" i="23" s="1"/>
  <c r="G64" i="23" s="1"/>
  <c r="G63" i="23" s="1"/>
  <c r="G62" i="23" s="1"/>
  <c r="G61" i="23" s="1"/>
  <c r="G60" i="23" s="1"/>
  <c r="F842" i="21"/>
  <c r="F841" i="21" s="1"/>
  <c r="F840" i="21" s="1"/>
  <c r="F839" i="21" s="1"/>
  <c r="F838" i="21" s="1"/>
  <c r="G171" i="23"/>
  <c r="G172" i="23" s="1"/>
  <c r="F494" i="21"/>
  <c r="F493" i="21" s="1"/>
  <c r="F492" i="21" s="1"/>
  <c r="F485" i="21" s="1"/>
  <c r="G563" i="22"/>
  <c r="G562" i="22" s="1"/>
  <c r="G555" i="22" s="1"/>
  <c r="H438" i="23"/>
  <c r="H439" i="23" s="1"/>
  <c r="G908" i="21"/>
  <c r="G907" i="21" s="1"/>
  <c r="G906" i="21" s="1"/>
  <c r="G902" i="21" s="1"/>
  <c r="H852" i="22"/>
  <c r="H851" i="22" s="1"/>
  <c r="H850" i="22" s="1"/>
  <c r="H849" i="22" s="1"/>
  <c r="H848" i="22" s="1"/>
  <c r="H847" i="22" s="1"/>
  <c r="H846" i="22" s="1"/>
  <c r="G851" i="22"/>
  <c r="G850" i="22" s="1"/>
  <c r="G849" i="22" s="1"/>
  <c r="G848" i="22" s="1"/>
  <c r="G847" i="22" s="1"/>
  <c r="G846" i="22" s="1"/>
  <c r="G672" i="23"/>
  <c r="G673" i="23" s="1"/>
  <c r="F422" i="21"/>
  <c r="F421" i="21" s="1"/>
  <c r="H52" i="23"/>
  <c r="H50" i="23"/>
  <c r="G543" i="23"/>
  <c r="G541" i="23"/>
  <c r="G540" i="23" s="1"/>
  <c r="G539" i="23" s="1"/>
  <c r="G538" i="23" s="1"/>
  <c r="G665" i="23"/>
  <c r="G663" i="23"/>
  <c r="G662" i="23" s="1"/>
  <c r="C58" i="19"/>
  <c r="F118" i="21"/>
  <c r="F117" i="21" s="1"/>
  <c r="G525" i="21"/>
  <c r="G36" i="22"/>
  <c r="G55" i="22"/>
  <c r="G54" i="22" s="1"/>
  <c r="H187" i="22"/>
  <c r="G186" i="22"/>
  <c r="G183" i="22" s="1"/>
  <c r="G182" i="22" s="1"/>
  <c r="G58" i="23"/>
  <c r="G57" i="23" s="1"/>
  <c r="G56" i="23" s="1"/>
  <c r="F708" i="21"/>
  <c r="F707" i="21" s="1"/>
  <c r="F706" i="21" s="1"/>
  <c r="F705" i="21" s="1"/>
  <c r="G581" i="23"/>
  <c r="G580" i="23" s="1"/>
  <c r="G579" i="23" s="1"/>
  <c r="G578" i="23" s="1"/>
  <c r="G577" i="23" s="1"/>
  <c r="G576" i="23" s="1"/>
  <c r="H392" i="22"/>
  <c r="G391" i="22"/>
  <c r="G390" i="22" s="1"/>
  <c r="G389" i="22" s="1"/>
  <c r="F776" i="21"/>
  <c r="F775" i="21" s="1"/>
  <c r="F774" i="21" s="1"/>
  <c r="F773" i="21" s="1"/>
  <c r="H433" i="22"/>
  <c r="F817" i="21"/>
  <c r="F816" i="21" s="1"/>
  <c r="F815" i="21" s="1"/>
  <c r="H497" i="22"/>
  <c r="G496" i="22"/>
  <c r="G805" i="22"/>
  <c r="G804" i="22" s="1"/>
  <c r="H822" i="22"/>
  <c r="H821" i="22" s="1"/>
  <c r="G943" i="21"/>
  <c r="G942" i="21" s="1"/>
  <c r="G941" i="21" s="1"/>
  <c r="G1025" i="22"/>
  <c r="G1024" i="22" s="1"/>
  <c r="G349" i="23"/>
  <c r="G348" i="23" s="1"/>
  <c r="G347" i="23" s="1"/>
  <c r="G346" i="23" s="1"/>
  <c r="G344" i="23" s="1"/>
  <c r="G351" i="23"/>
  <c r="G651" i="23"/>
  <c r="G649" i="23"/>
  <c r="G648" i="23" s="1"/>
  <c r="G595" i="21"/>
  <c r="F797" i="21"/>
  <c r="F796" i="21" s="1"/>
  <c r="H36" i="22"/>
  <c r="G160" i="22"/>
  <c r="G1149" i="22" s="1"/>
  <c r="G361" i="22"/>
  <c r="G360" i="22" s="1"/>
  <c r="G413" i="22"/>
  <c r="G412" i="22" s="1"/>
  <c r="G102" i="23"/>
  <c r="G101" i="23" s="1"/>
  <c r="G100" i="23" s="1"/>
  <c r="G99" i="23" s="1"/>
  <c r="G98" i="23" s="1"/>
  <c r="G97" i="23" s="1"/>
  <c r="F955" i="21"/>
  <c r="F954" i="21" s="1"/>
  <c r="F953" i="21" s="1"/>
  <c r="F952" i="21" s="1"/>
  <c r="H15" i="22"/>
  <c r="H14" i="22" s="1"/>
  <c r="H13" i="22" s="1"/>
  <c r="H12" i="22" s="1"/>
  <c r="H11" i="22" s="1"/>
  <c r="H10" i="22" s="1"/>
  <c r="G84" i="22"/>
  <c r="E129" i="19" s="1"/>
  <c r="H115" i="22"/>
  <c r="H114" i="22" s="1"/>
  <c r="H113" i="22" s="1"/>
  <c r="H332" i="22"/>
  <c r="G662" i="22"/>
  <c r="H722" i="22"/>
  <c r="H721" i="22" s="1"/>
  <c r="H720" i="22" s="1"/>
  <c r="G722" i="22"/>
  <c r="G721" i="22" s="1"/>
  <c r="G720" i="22" s="1"/>
  <c r="H187" i="23"/>
  <c r="H186" i="23" s="1"/>
  <c r="H281" i="23"/>
  <c r="H280" i="23" s="1"/>
  <c r="H279" i="23" s="1"/>
  <c r="G295" i="23"/>
  <c r="G294" i="23" s="1"/>
  <c r="G293" i="23" s="1"/>
  <c r="G292" i="23" s="1"/>
  <c r="G291" i="23" s="1"/>
  <c r="H309" i="23"/>
  <c r="H308" i="23" s="1"/>
  <c r="H307" i="23" s="1"/>
  <c r="H306" i="23" s="1"/>
  <c r="H305" i="23" s="1"/>
  <c r="H353" i="23"/>
  <c r="H352" i="23" s="1"/>
  <c r="H608" i="23"/>
  <c r="H607" i="23" s="1"/>
  <c r="H606" i="23" s="1"/>
  <c r="H605" i="23" s="1"/>
  <c r="H825" i="23"/>
  <c r="H824" i="23" s="1"/>
  <c r="H819" i="23" s="1"/>
  <c r="H831" i="23"/>
  <c r="H830" i="23" s="1"/>
  <c r="H829" i="23" s="1"/>
  <c r="H828" i="23" s="1"/>
  <c r="H837" i="23"/>
  <c r="H836" i="23" s="1"/>
  <c r="H835" i="23" s="1"/>
  <c r="H834" i="23" s="1"/>
  <c r="D34" i="19"/>
  <c r="K34" i="19" s="1"/>
  <c r="D133" i="19"/>
  <c r="D117" i="19" s="1"/>
  <c r="D116" i="19" s="1"/>
  <c r="D115" i="19" s="1"/>
  <c r="H498" i="22"/>
  <c r="G56" i="21"/>
  <c r="G55" i="21" s="1"/>
  <c r="F439" i="21"/>
  <c r="F438" i="21"/>
  <c r="G236" i="21"/>
  <c r="G235" i="21" s="1"/>
  <c r="G234" i="21" s="1"/>
  <c r="H177" i="22"/>
  <c r="H176" i="22" s="1"/>
  <c r="G22" i="21"/>
  <c r="G21" i="21" s="1"/>
  <c r="F32" i="21"/>
  <c r="F149" i="21"/>
  <c r="H81" i="22"/>
  <c r="H83" i="22"/>
  <c r="H181" i="22"/>
  <c r="H216" i="22"/>
  <c r="H215" i="22" s="1"/>
  <c r="H214" i="22" s="1"/>
  <c r="H213" i="22" s="1"/>
  <c r="H1134" i="22" s="1"/>
  <c r="G302" i="22"/>
  <c r="H303" i="22"/>
  <c r="H302" i="22" s="1"/>
  <c r="H373" i="22"/>
  <c r="H376" i="22"/>
  <c r="H375" i="22" s="1"/>
  <c r="H374" i="22" s="1"/>
  <c r="H383" i="22"/>
  <c r="H382" i="22" s="1"/>
  <c r="G458" i="22"/>
  <c r="G453" i="22" s="1"/>
  <c r="H477" i="22"/>
  <c r="G498" i="22"/>
  <c r="G509" i="22"/>
  <c r="G508" i="22" s="1"/>
  <c r="H564" i="22"/>
  <c r="H577" i="22"/>
  <c r="F37" i="21"/>
  <c r="F160" i="21"/>
  <c r="F159" i="21" s="1"/>
  <c r="F333" i="21"/>
  <c r="G333" i="21" s="1"/>
  <c r="F626" i="21"/>
  <c r="F621" i="21" s="1"/>
  <c r="G15" i="22"/>
  <c r="G14" i="22" s="1"/>
  <c r="G13" i="22" s="1"/>
  <c r="G12" i="22" s="1"/>
  <c r="G11" i="22" s="1"/>
  <c r="G10" i="22" s="1"/>
  <c r="G47" i="22"/>
  <c r="G46" i="22" s="1"/>
  <c r="G45" i="22" s="1"/>
  <c r="G44" i="22" s="1"/>
  <c r="H92" i="22"/>
  <c r="H91" i="22" s="1"/>
  <c r="H90" i="22" s="1"/>
  <c r="H154" i="22"/>
  <c r="G196" i="22"/>
  <c r="G195" i="22" s="1"/>
  <c r="G194" i="22" s="1"/>
  <c r="G193" i="22" s="1"/>
  <c r="G1142" i="22" s="1"/>
  <c r="G317" i="22"/>
  <c r="H346" i="22"/>
  <c r="H41" i="23" s="1"/>
  <c r="H40" i="23" s="1"/>
  <c r="H39" i="23" s="1"/>
  <c r="H428" i="22"/>
  <c r="H430" i="22"/>
  <c r="G472" i="22"/>
  <c r="G471" i="22" s="1"/>
  <c r="G470" i="22" s="1"/>
  <c r="G260" i="23"/>
  <c r="G259" i="23" s="1"/>
  <c r="G258" i="23" s="1"/>
  <c r="H581" i="22"/>
  <c r="H260" i="23" s="1"/>
  <c r="H259" i="23" s="1"/>
  <c r="H258" i="23" s="1"/>
  <c r="G716" i="22"/>
  <c r="G715" i="22"/>
  <c r="G1140" i="22"/>
  <c r="H630" i="22"/>
  <c r="G563" i="21" s="1"/>
  <c r="G562" i="21" s="1"/>
  <c r="G561" i="21" s="1"/>
  <c r="G732" i="22"/>
  <c r="H820" i="22"/>
  <c r="H845" i="22"/>
  <c r="G877" i="22"/>
  <c r="G876" i="22" s="1"/>
  <c r="G875" i="22" s="1"/>
  <c r="G1060" i="22"/>
  <c r="G1059" i="22" s="1"/>
  <c r="G493" i="23"/>
  <c r="G499" i="23"/>
  <c r="G529" i="23"/>
  <c r="G528" i="23" s="1"/>
  <c r="G527" i="23" s="1"/>
  <c r="G526" i="23" s="1"/>
  <c r="G535" i="23"/>
  <c r="G534" i="23" s="1"/>
  <c r="G533" i="23" s="1"/>
  <c r="G532" i="23" s="1"/>
  <c r="G573" i="23"/>
  <c r="G572" i="23" s="1"/>
  <c r="G621" i="23"/>
  <c r="F614" i="21" s="1"/>
  <c r="F613" i="21" s="1"/>
  <c r="F612" i="21" s="1"/>
  <c r="F611" i="21" s="1"/>
  <c r="F610" i="21" s="1"/>
  <c r="G868" i="23"/>
  <c r="H736" i="22"/>
  <c r="H769" i="22"/>
  <c r="H768" i="22" s="1"/>
  <c r="H767" i="22" s="1"/>
  <c r="H984" i="22"/>
  <c r="H1010" i="22"/>
  <c r="G114" i="23"/>
  <c r="G113" i="23" s="1"/>
  <c r="G112" i="23" s="1"/>
  <c r="G111" i="23" s="1"/>
  <c r="G110" i="23" s="1"/>
  <c r="G124" i="23"/>
  <c r="G145" i="23"/>
  <c r="G144" i="23" s="1"/>
  <c r="G143" i="23" s="1"/>
  <c r="G263" i="23"/>
  <c r="G262" i="23" s="1"/>
  <c r="G361" i="23"/>
  <c r="G360" i="23" s="1"/>
  <c r="G359" i="23" s="1"/>
  <c r="G357" i="23" s="1"/>
  <c r="G469" i="23"/>
  <c r="G481" i="23"/>
  <c r="G487" i="23"/>
  <c r="G637" i="23"/>
  <c r="H678" i="23"/>
  <c r="H677" i="23" s="1"/>
  <c r="F364" i="21"/>
  <c r="H571" i="22"/>
  <c r="H220" i="23" s="1"/>
  <c r="H219" i="23" s="1"/>
  <c r="H218" i="23" s="1"/>
  <c r="H933" i="22"/>
  <c r="H932" i="22" s="1"/>
  <c r="G302" i="21"/>
  <c r="G301" i="21" s="1"/>
  <c r="F576" i="21"/>
  <c r="F575" i="21" s="1"/>
  <c r="F574" i="21" s="1"/>
  <c r="H643" i="22"/>
  <c r="H242" i="23" s="1"/>
  <c r="H243" i="23" s="1"/>
  <c r="H169" i="22"/>
  <c r="H168" i="22" s="1"/>
  <c r="H167" i="22" s="1"/>
  <c r="H166" i="22" s="1"/>
  <c r="H165" i="22" s="1"/>
  <c r="H1105" i="22" s="1"/>
  <c r="H939" i="22"/>
  <c r="H745" i="23" s="1"/>
  <c r="H746" i="23" s="1"/>
  <c r="G991" i="22"/>
  <c r="H902" i="22"/>
  <c r="H509" i="22"/>
  <c r="H508" i="22" s="1"/>
  <c r="H507" i="22" s="1"/>
  <c r="H927" i="22"/>
  <c r="H724" i="23" s="1"/>
  <c r="H725" i="23" s="1"/>
  <c r="H943" i="22"/>
  <c r="H752" i="23" s="1"/>
  <c r="H753" i="23" s="1"/>
  <c r="C117" i="19"/>
  <c r="C116" i="19" s="1"/>
  <c r="C115" i="19" s="1"/>
  <c r="F457" i="21"/>
  <c r="G252" i="22"/>
  <c r="G251" i="22" s="1"/>
  <c r="G1144" i="22" s="1"/>
  <c r="H574" i="22"/>
  <c r="H873" i="22"/>
  <c r="H28" i="23" s="1"/>
  <c r="H29" i="23" s="1"/>
  <c r="H896" i="22"/>
  <c r="G902" i="22"/>
  <c r="H925" i="22"/>
  <c r="H924" i="22" s="1"/>
  <c r="H931" i="22"/>
  <c r="H731" i="23" s="1"/>
  <c r="H732" i="23" s="1"/>
  <c r="H941" i="22"/>
  <c r="H940" i="22" s="1"/>
  <c r="H947" i="22"/>
  <c r="H759" i="23" s="1"/>
  <c r="H760" i="23" s="1"/>
  <c r="G1017" i="22"/>
  <c r="F195" i="21"/>
  <c r="F194" i="21" s="1"/>
  <c r="F193" i="21" s="1"/>
  <c r="G342" i="21"/>
  <c r="H261" i="22"/>
  <c r="G634" i="22"/>
  <c r="H937" i="22"/>
  <c r="H936" i="22" s="1"/>
  <c r="C145" i="19"/>
  <c r="C144" i="19" s="1"/>
  <c r="F368" i="21"/>
  <c r="F372" i="21"/>
  <c r="F376" i="21"/>
  <c r="F380" i="21"/>
  <c r="F384" i="21"/>
  <c r="F504" i="21"/>
  <c r="F503" i="21" s="1"/>
  <c r="F502" i="21" s="1"/>
  <c r="G647" i="22"/>
  <c r="G782" i="22"/>
  <c r="G919" i="22"/>
  <c r="G1143" i="22" s="1"/>
  <c r="H929" i="22"/>
  <c r="H928" i="22" s="1"/>
  <c r="H935" i="22"/>
  <c r="H738" i="23" s="1"/>
  <c r="H739" i="23" s="1"/>
  <c r="H945" i="22"/>
  <c r="H944" i="22" s="1"/>
  <c r="H972" i="22"/>
  <c r="H657" i="23" s="1"/>
  <c r="H658" i="23" s="1"/>
  <c r="H994" i="22"/>
  <c r="H690" i="23" s="1"/>
  <c r="H689" i="23" s="1"/>
  <c r="H688" i="23" s="1"/>
  <c r="D81" i="19"/>
  <c r="C81" i="19"/>
  <c r="D145" i="19"/>
  <c r="D144" i="19" s="1"/>
  <c r="G209" i="21"/>
  <c r="G208" i="21"/>
  <c r="F13" i="21"/>
  <c r="G131" i="21"/>
  <c r="G130" i="21" s="1"/>
  <c r="G129" i="21" s="1"/>
  <c r="G128" i="21" s="1"/>
  <c r="E16" i="20" s="1"/>
  <c r="F209" i="21"/>
  <c r="F208" i="21"/>
  <c r="F241" i="21"/>
  <c r="D24" i="20"/>
  <c r="G359" i="21"/>
  <c r="F178" i="21"/>
  <c r="F226" i="21"/>
  <c r="F225" i="21" s="1"/>
  <c r="F224" i="21" s="1"/>
  <c r="F223" i="21" s="1"/>
  <c r="F342" i="21"/>
  <c r="F848" i="21"/>
  <c r="F843" i="21" s="1"/>
  <c r="G434" i="21"/>
  <c r="F433" i="21"/>
  <c r="F682" i="21"/>
  <c r="F681" i="21" s="1"/>
  <c r="F844" i="21"/>
  <c r="F548" i="21"/>
  <c r="F636" i="21"/>
  <c r="F825" i="21"/>
  <c r="G79" i="22"/>
  <c r="E122" i="19" s="1"/>
  <c r="H484" i="22"/>
  <c r="H483" i="22"/>
  <c r="G516" i="22"/>
  <c r="G1147" i="22" s="1"/>
  <c r="H592" i="22"/>
  <c r="H1140" i="22"/>
  <c r="G41" i="22"/>
  <c r="H41" i="22" s="1"/>
  <c r="H42" i="22"/>
  <c r="H55" i="22"/>
  <c r="G605" i="22"/>
  <c r="G604" i="22"/>
  <c r="G454" i="22"/>
  <c r="H605" i="22"/>
  <c r="H604" i="22"/>
  <c r="H370" i="23"/>
  <c r="H369" i="23" s="1"/>
  <c r="H368" i="23" s="1"/>
  <c r="H367" i="23" s="1"/>
  <c r="H366" i="23" s="1"/>
  <c r="H47" i="22"/>
  <c r="H46" i="22" s="1"/>
  <c r="H45" i="22" s="1"/>
  <c r="H44" i="22" s="1"/>
  <c r="G484" i="22"/>
  <c r="G483" i="22"/>
  <c r="H43" i="22"/>
  <c r="G20" i="21" s="1"/>
  <c r="G19" i="21" s="1"/>
  <c r="H361" i="23"/>
  <c r="H360" i="23" s="1"/>
  <c r="H359" i="23" s="1"/>
  <c r="H363" i="23"/>
  <c r="H97" i="22"/>
  <c r="H99" i="22"/>
  <c r="H109" i="22"/>
  <c r="H190" i="22"/>
  <c r="H196" i="22"/>
  <c r="H195" i="22" s="1"/>
  <c r="H194" i="22" s="1"/>
  <c r="H193" i="22" s="1"/>
  <c r="H210" i="22"/>
  <c r="H351" i="23"/>
  <c r="H349" i="23"/>
  <c r="H348" i="23" s="1"/>
  <c r="H347" i="23" s="1"/>
  <c r="H346" i="23" s="1"/>
  <c r="G405" i="23"/>
  <c r="G403" i="23"/>
  <c r="G402" i="23" s="1"/>
  <c r="G401" i="23" s="1"/>
  <c r="G400" i="23" s="1"/>
  <c r="G790" i="23"/>
  <c r="G788" i="23"/>
  <c r="G787" i="23" s="1"/>
  <c r="H272" i="22"/>
  <c r="H278" i="22"/>
  <c r="H277" i="22" s="1"/>
  <c r="H280" i="22"/>
  <c r="H74" i="23" s="1"/>
  <c r="H284" i="22"/>
  <c r="H286" i="22"/>
  <c r="H285" i="22" s="1"/>
  <c r="H288" i="22"/>
  <c r="H88" i="23" s="1"/>
  <c r="H310" i="22"/>
  <c r="H312" i="22"/>
  <c r="H514" i="23" s="1"/>
  <c r="G342" i="22"/>
  <c r="G341" i="22" s="1"/>
  <c r="G340" i="22" s="1"/>
  <c r="G42" i="23"/>
  <c r="G40" i="23"/>
  <c r="G39" i="23" s="1"/>
  <c r="G52" i="23"/>
  <c r="G50" i="23"/>
  <c r="H356" i="22"/>
  <c r="H362" i="22"/>
  <c r="H537" i="23"/>
  <c r="H535" i="23"/>
  <c r="H534" i="23" s="1"/>
  <c r="H533" i="23" s="1"/>
  <c r="H532" i="23" s="1"/>
  <c r="H566" i="23"/>
  <c r="H565" i="23" s="1"/>
  <c r="H568" i="23"/>
  <c r="H456" i="22"/>
  <c r="H455" i="22" s="1"/>
  <c r="H475" i="22"/>
  <c r="H501" i="23"/>
  <c r="H499" i="23"/>
  <c r="H527" i="22"/>
  <c r="G219" i="23"/>
  <c r="G218" i="23" s="1"/>
  <c r="G221" i="23"/>
  <c r="H587" i="22"/>
  <c r="H591" i="22"/>
  <c r="H620" i="22"/>
  <c r="H619" i="22" s="1"/>
  <c r="H637" i="22"/>
  <c r="G238" i="23"/>
  <c r="H640" i="22"/>
  <c r="G243" i="23"/>
  <c r="G241" i="23"/>
  <c r="G240" i="23" s="1"/>
  <c r="H342" i="23"/>
  <c r="H679" i="22"/>
  <c r="H678" i="22" s="1"/>
  <c r="H677" i="22" s="1"/>
  <c r="H716" i="22"/>
  <c r="H772" i="22"/>
  <c r="G96" i="22"/>
  <c r="G98" i="22"/>
  <c r="G108" i="22"/>
  <c r="G107" i="22" s="1"/>
  <c r="G106" i="22" s="1"/>
  <c r="G397" i="23"/>
  <c r="G395" i="23"/>
  <c r="G394" i="23" s="1"/>
  <c r="H266" i="22"/>
  <c r="H265" i="22" s="1"/>
  <c r="H252" i="22" s="1"/>
  <c r="H251" i="22" s="1"/>
  <c r="G271" i="22"/>
  <c r="G270" i="22" s="1"/>
  <c r="G283" i="22"/>
  <c r="G282" i="22" s="1"/>
  <c r="G281" i="22" s="1"/>
  <c r="G276" i="22" s="1"/>
  <c r="G275" i="22" s="1"/>
  <c r="H300" i="22"/>
  <c r="G508" i="23"/>
  <c r="G506" i="23"/>
  <c r="G505" i="23" s="1"/>
  <c r="G309" i="22"/>
  <c r="G308" i="22" s="1"/>
  <c r="H319" i="22"/>
  <c r="H318" i="22" s="1"/>
  <c r="G355" i="22"/>
  <c r="G354" i="22" s="1"/>
  <c r="G353" i="22" s="1"/>
  <c r="H483" i="23"/>
  <c r="H481" i="23"/>
  <c r="G451" i="22"/>
  <c r="G450" i="22" s="1"/>
  <c r="G449" i="22" s="1"/>
  <c r="G448" i="22" s="1"/>
  <c r="H114" i="23"/>
  <c r="H113" i="23" s="1"/>
  <c r="H112" i="23" s="1"/>
  <c r="H111" i="23" s="1"/>
  <c r="H110" i="23" s="1"/>
  <c r="H116" i="23"/>
  <c r="H473" i="22"/>
  <c r="H557" i="22"/>
  <c r="H556" i="22" s="1"/>
  <c r="H583" i="22"/>
  <c r="H582" i="22" s="1"/>
  <c r="G586" i="22"/>
  <c r="G585" i="22" s="1"/>
  <c r="G578" i="22" s="1"/>
  <c r="G590" i="22"/>
  <c r="G589" i="22" s="1"/>
  <c r="G588" i="22" s="1"/>
  <c r="G597" i="22"/>
  <c r="G596" i="22" s="1"/>
  <c r="G592" i="22" s="1"/>
  <c r="H613" i="22"/>
  <c r="H612" i="22" s="1"/>
  <c r="H611" i="22" s="1"/>
  <c r="H183" i="23"/>
  <c r="H182" i="23" s="1"/>
  <c r="H185" i="23"/>
  <c r="G629" i="22"/>
  <c r="G628" i="22" s="1"/>
  <c r="G615" i="22" s="1"/>
  <c r="G246" i="23"/>
  <c r="H646" i="22"/>
  <c r="G213" i="23"/>
  <c r="G705" i="22"/>
  <c r="G704" i="22" s="1"/>
  <c r="G697" i="22" s="1"/>
  <c r="G692" i="22" s="1"/>
  <c r="H706" i="22"/>
  <c r="G814" i="22"/>
  <c r="G813" i="22" s="1"/>
  <c r="G812" i="22" s="1"/>
  <c r="G839" i="22"/>
  <c r="G835" i="22" s="1"/>
  <c r="G834" i="22" s="1"/>
  <c r="G833" i="22" s="1"/>
  <c r="G832" i="22" s="1"/>
  <c r="G29" i="23"/>
  <c r="G27" i="23"/>
  <c r="G892" i="22"/>
  <c r="H895" i="22"/>
  <c r="H112" i="22"/>
  <c r="H396" i="23" s="1"/>
  <c r="H794" i="23"/>
  <c r="H792" i="23"/>
  <c r="H791" i="23" s="1"/>
  <c r="H298" i="22"/>
  <c r="H315" i="22"/>
  <c r="H314" i="22" s="1"/>
  <c r="H313" i="22" s="1"/>
  <c r="H322" i="22"/>
  <c r="H321" i="22" s="1"/>
  <c r="H366" i="22"/>
  <c r="H380" i="22"/>
  <c r="H379" i="22" s="1"/>
  <c r="H462" i="22"/>
  <c r="H495" i="23"/>
  <c r="H493" i="23"/>
  <c r="H481" i="22"/>
  <c r="H480" i="22" s="1"/>
  <c r="H479" i="22" s="1"/>
  <c r="H553" i="22"/>
  <c r="H552" i="22" s="1"/>
  <c r="H551" i="22" s="1"/>
  <c r="H164" i="23"/>
  <c r="H162" i="23"/>
  <c r="H161" i="23" s="1"/>
  <c r="H560" i="22"/>
  <c r="H559" i="22" s="1"/>
  <c r="G223" i="23"/>
  <c r="G222" i="23" s="1"/>
  <c r="G225" i="23"/>
  <c r="H263" i="23"/>
  <c r="H262" i="23" s="1"/>
  <c r="H265" i="23"/>
  <c r="H152" i="23"/>
  <c r="H150" i="23"/>
  <c r="H149" i="23" s="1"/>
  <c r="H148" i="23" s="1"/>
  <c r="G328" i="23"/>
  <c r="G327" i="23" s="1"/>
  <c r="G326" i="23" s="1"/>
  <c r="G325" i="23" s="1"/>
  <c r="G324" i="23" s="1"/>
  <c r="G323" i="23" s="1"/>
  <c r="G329" i="23" s="1"/>
  <c r="G671" i="22"/>
  <c r="G670" i="22" s="1"/>
  <c r="G669" i="22" s="1"/>
  <c r="H156" i="23"/>
  <c r="H695" i="22"/>
  <c r="H694" i="22" s="1"/>
  <c r="H693" i="22" s="1"/>
  <c r="H209" i="23"/>
  <c r="H702" i="22"/>
  <c r="H701" i="22" s="1"/>
  <c r="H747" i="22"/>
  <c r="G378" i="23"/>
  <c r="G376" i="23"/>
  <c r="G806" i="23"/>
  <c r="G804" i="23"/>
  <c r="G803" i="23" s="1"/>
  <c r="G75" i="23"/>
  <c r="G73" i="23"/>
  <c r="G72" i="23" s="1"/>
  <c r="G71" i="23" s="1"/>
  <c r="G70" i="23" s="1"/>
  <c r="G69" i="23" s="1"/>
  <c r="G89" i="23"/>
  <c r="G87" i="23"/>
  <c r="G86" i="23" s="1"/>
  <c r="G85" i="23" s="1"/>
  <c r="G84" i="23" s="1"/>
  <c r="G83" i="23" s="1"/>
  <c r="G512" i="23"/>
  <c r="G510" i="23"/>
  <c r="G515" i="23"/>
  <c r="G513" i="23"/>
  <c r="H531" i="23"/>
  <c r="H529" i="23"/>
  <c r="H528" i="23" s="1"/>
  <c r="H527" i="23" s="1"/>
  <c r="H526" i="23" s="1"/>
  <c r="H126" i="23"/>
  <c r="H124" i="23"/>
  <c r="H147" i="23"/>
  <c r="H145" i="23"/>
  <c r="H144" i="23" s="1"/>
  <c r="H143" i="23" s="1"/>
  <c r="H168" i="23"/>
  <c r="H166" i="23"/>
  <c r="H165" i="23" s="1"/>
  <c r="G235" i="23"/>
  <c r="G233" i="23"/>
  <c r="G232" i="23" s="1"/>
  <c r="H277" i="23"/>
  <c r="H652" i="22"/>
  <c r="H651" i="22" s="1"/>
  <c r="H647" i="22" s="1"/>
  <c r="H335" i="23"/>
  <c r="H674" i="22"/>
  <c r="H673" i="22" s="1"/>
  <c r="G342" i="23"/>
  <c r="G679" i="22"/>
  <c r="G678" i="22" s="1"/>
  <c r="G677" i="22" s="1"/>
  <c r="G707" i="22"/>
  <c r="H708" i="22"/>
  <c r="H707" i="22" s="1"/>
  <c r="G419" i="23"/>
  <c r="H774" i="22"/>
  <c r="H419" i="23" s="1"/>
  <c r="H699" i="22"/>
  <c r="H698" i="22" s="1"/>
  <c r="H413" i="23"/>
  <c r="H411" i="23"/>
  <c r="H410" i="23" s="1"/>
  <c r="H409" i="23" s="1"/>
  <c r="H408" i="23" s="1"/>
  <c r="H407" i="23" s="1"/>
  <c r="G428" i="23"/>
  <c r="G426" i="23"/>
  <c r="G425" i="23" s="1"/>
  <c r="G435" i="23"/>
  <c r="G433" i="23"/>
  <c r="G432" i="23" s="1"/>
  <c r="H830" i="22"/>
  <c r="G870" i="22"/>
  <c r="G867" i="22" s="1"/>
  <c r="H888" i="22"/>
  <c r="G957" i="22"/>
  <c r="G956" i="22" s="1"/>
  <c r="G955" i="22" s="1"/>
  <c r="G954" i="22" s="1"/>
  <c r="G680" i="23"/>
  <c r="G678" i="23"/>
  <c r="G677" i="23" s="1"/>
  <c r="H1012" i="22"/>
  <c r="G1070" i="22"/>
  <c r="H22" i="23"/>
  <c r="G318" i="23"/>
  <c r="G314" i="23"/>
  <c r="G313" i="23" s="1"/>
  <c r="G312" i="23" s="1"/>
  <c r="H193" i="23"/>
  <c r="H191" i="23"/>
  <c r="H190" i="23" s="1"/>
  <c r="H650" i="22"/>
  <c r="H206" i="23"/>
  <c r="H204" i="23"/>
  <c r="H203" i="23" s="1"/>
  <c r="H424" i="23"/>
  <c r="H422" i="23"/>
  <c r="H421" i="23" s="1"/>
  <c r="H781" i="22"/>
  <c r="H785" i="22"/>
  <c r="H434" i="23" s="1"/>
  <c r="H787" i="22"/>
  <c r="H786" i="22" s="1"/>
  <c r="H782" i="22" s="1"/>
  <c r="G829" i="22"/>
  <c r="G826" i="22" s="1"/>
  <c r="G825" i="22" s="1"/>
  <c r="G824" i="22" s="1"/>
  <c r="G660" i="23"/>
  <c r="H973" i="22"/>
  <c r="H660" i="23" s="1"/>
  <c r="G859" i="23"/>
  <c r="G1001" i="22"/>
  <c r="G1000" i="22" s="1"/>
  <c r="G999" i="22" s="1"/>
  <c r="G998" i="22" s="1"/>
  <c r="G1146" i="22" s="1"/>
  <c r="H1002" i="22"/>
  <c r="G24" i="23"/>
  <c r="G725" i="23"/>
  <c r="G723" i="23"/>
  <c r="G722" i="23" s="1"/>
  <c r="G721" i="23" s="1"/>
  <c r="G720" i="23" s="1"/>
  <c r="G719" i="23" s="1"/>
  <c r="G732" i="23"/>
  <c r="G730" i="23"/>
  <c r="G729" i="23" s="1"/>
  <c r="G728" i="23" s="1"/>
  <c r="G727" i="23" s="1"/>
  <c r="G726" i="23" s="1"/>
  <c r="G739" i="23"/>
  <c r="G737" i="23"/>
  <c r="G736" i="23" s="1"/>
  <c r="G735" i="23" s="1"/>
  <c r="G734" i="23" s="1"/>
  <c r="G733" i="23" s="1"/>
  <c r="G746" i="23"/>
  <c r="G744" i="23"/>
  <c r="G743" i="23" s="1"/>
  <c r="G742" i="23" s="1"/>
  <c r="G741" i="23" s="1"/>
  <c r="G740" i="23" s="1"/>
  <c r="G753" i="23"/>
  <c r="G751" i="23"/>
  <c r="G750" i="23" s="1"/>
  <c r="G749" i="23" s="1"/>
  <c r="G748" i="23" s="1"/>
  <c r="G747" i="23" s="1"/>
  <c r="G760" i="23"/>
  <c r="G758" i="23"/>
  <c r="G757" i="23" s="1"/>
  <c r="G756" i="23" s="1"/>
  <c r="G755" i="23" s="1"/>
  <c r="G754" i="23" s="1"/>
  <c r="H1017" i="22"/>
  <c r="G456" i="23"/>
  <c r="G454" i="23"/>
  <c r="G658" i="23"/>
  <c r="G656" i="23"/>
  <c r="G23" i="23"/>
  <c r="G21" i="23"/>
  <c r="G121" i="23"/>
  <c r="G206" i="23"/>
  <c r="G204" i="23"/>
  <c r="G203" i="23" s="1"/>
  <c r="G210" i="23"/>
  <c r="G208" i="23"/>
  <c r="G207" i="23" s="1"/>
  <c r="G254" i="23"/>
  <c r="G252" i="23"/>
  <c r="G251" i="23" s="1"/>
  <c r="G250" i="23" s="1"/>
  <c r="G249" i="23" s="1"/>
  <c r="G248" i="23" s="1"/>
  <c r="H304" i="23"/>
  <c r="H302" i="23"/>
  <c r="H301" i="23" s="1"/>
  <c r="H300" i="23" s="1"/>
  <c r="H299" i="23" s="1"/>
  <c r="H298" i="23" s="1"/>
  <c r="G689" i="23"/>
  <c r="G688" i="23" s="1"/>
  <c r="G691" i="23"/>
  <c r="G152" i="23"/>
  <c r="G150" i="23"/>
  <c r="G149" i="23" s="1"/>
  <c r="G148" i="23" s="1"/>
  <c r="H254" i="23"/>
  <c r="H252" i="23"/>
  <c r="H251" i="23" s="1"/>
  <c r="H250" i="23" s="1"/>
  <c r="H249" i="23" s="1"/>
  <c r="H248" i="23" s="1"/>
  <c r="G278" i="23"/>
  <c r="G276" i="23"/>
  <c r="G275" i="23" s="1"/>
  <c r="G164" i="23"/>
  <c r="G162" i="23"/>
  <c r="G161" i="23" s="1"/>
  <c r="G168" i="23"/>
  <c r="G166" i="23"/>
  <c r="G165" i="23" s="1"/>
  <c r="G176" i="23"/>
  <c r="G174" i="23"/>
  <c r="G173" i="23" s="1"/>
  <c r="H318" i="23"/>
  <c r="H314" i="23"/>
  <c r="H313" i="23" s="1"/>
  <c r="H312" i="23" s="1"/>
  <c r="H386" i="23"/>
  <c r="H384" i="23"/>
  <c r="H383" i="23" s="1"/>
  <c r="H176" i="23"/>
  <c r="H174" i="23"/>
  <c r="H173" i="23" s="1"/>
  <c r="G304" i="23"/>
  <c r="G302" i="23"/>
  <c r="G301" i="23" s="1"/>
  <c r="G300" i="23" s="1"/>
  <c r="G299" i="23" s="1"/>
  <c r="G298" i="23" s="1"/>
  <c r="G370" i="23"/>
  <c r="G366" i="23"/>
  <c r="H382" i="23"/>
  <c r="H380" i="23"/>
  <c r="H379" i="23" s="1"/>
  <c r="G380" i="23"/>
  <c r="G379" i="23" s="1"/>
  <c r="G384" i="23"/>
  <c r="G383" i="23" s="1"/>
  <c r="G439" i="23"/>
  <c r="G437" i="23"/>
  <c r="G436" i="23" s="1"/>
  <c r="G474" i="23"/>
  <c r="G472" i="23"/>
  <c r="H521" i="23"/>
  <c r="H519" i="23"/>
  <c r="G568" i="23"/>
  <c r="G566" i="23"/>
  <c r="G565" i="23" s="1"/>
  <c r="G626" i="23"/>
  <c r="G624" i="23"/>
  <c r="G623" i="23" s="1"/>
  <c r="G622" i="23" s="1"/>
  <c r="H637" i="23"/>
  <c r="H633" i="23"/>
  <c r="H655" i="23"/>
  <c r="H653" i="23"/>
  <c r="H669" i="23"/>
  <c r="H667" i="23"/>
  <c r="H666" i="23" s="1"/>
  <c r="G710" i="23"/>
  <c r="G708" i="23"/>
  <c r="G707" i="23" s="1"/>
  <c r="G706" i="23" s="1"/>
  <c r="G705" i="23" s="1"/>
  <c r="G704" i="23" s="1"/>
  <c r="G413" i="23"/>
  <c r="G411" i="23"/>
  <c r="G410" i="23" s="1"/>
  <c r="G409" i="23" s="1"/>
  <c r="G408" i="23" s="1"/>
  <c r="G407" i="23" s="1"/>
  <c r="G486" i="23"/>
  <c r="G484" i="23"/>
  <c r="H621" i="23"/>
  <c r="G614" i="21" s="1"/>
  <c r="G613" i="21" s="1"/>
  <c r="G612" i="21" s="1"/>
  <c r="G611" i="21" s="1"/>
  <c r="G610" i="21" s="1"/>
  <c r="H619" i="23"/>
  <c r="H618" i="23" s="1"/>
  <c r="H617" i="23" s="1"/>
  <c r="G632" i="23"/>
  <c r="G630" i="23"/>
  <c r="G629" i="23" s="1"/>
  <c r="G628" i="23" s="1"/>
  <c r="G627" i="23" s="1"/>
  <c r="G453" i="23"/>
  <c r="G451" i="23"/>
  <c r="G564" i="23"/>
  <c r="G562" i="23"/>
  <c r="G561" i="23" s="1"/>
  <c r="G616" i="23"/>
  <c r="G614" i="23"/>
  <c r="G613" i="23" s="1"/>
  <c r="G612" i="23" s="1"/>
  <c r="H673" i="23"/>
  <c r="H671" i="23"/>
  <c r="G684" i="23"/>
  <c r="G682" i="23"/>
  <c r="G681" i="23" s="1"/>
  <c r="G878" i="23"/>
  <c r="G877" i="23"/>
  <c r="H453" i="23"/>
  <c r="H451" i="23"/>
  <c r="G498" i="23"/>
  <c r="G496" i="23"/>
  <c r="H575" i="23"/>
  <c r="H573" i="23"/>
  <c r="H572" i="23" s="1"/>
  <c r="H626" i="23"/>
  <c r="H622" i="23"/>
  <c r="H695" i="23"/>
  <c r="H693" i="23"/>
  <c r="H692" i="23" s="1"/>
  <c r="G862" i="23"/>
  <c r="G861" i="23"/>
  <c r="G870" i="23"/>
  <c r="G869" i="23"/>
  <c r="G876" i="23" s="1"/>
  <c r="G550" i="23"/>
  <c r="G548" i="23"/>
  <c r="G547" i="23" s="1"/>
  <c r="G554" i="23"/>
  <c r="G552" i="23"/>
  <c r="G551" i="23" s="1"/>
  <c r="G596" i="23"/>
  <c r="G594" i="23"/>
  <c r="G593" i="23" s="1"/>
  <c r="G592" i="23" s="1"/>
  <c r="G591" i="23" s="1"/>
  <c r="G590" i="23" s="1"/>
  <c r="G610" i="23"/>
  <c r="G608" i="23"/>
  <c r="G607" i="23" s="1"/>
  <c r="G606" i="23" s="1"/>
  <c r="G605" i="23" s="1"/>
  <c r="H643" i="23"/>
  <c r="H641" i="23"/>
  <c r="H640" i="23" s="1"/>
  <c r="H639" i="23" s="1"/>
  <c r="H638" i="23" s="1"/>
  <c r="G604" i="23"/>
  <c r="G602" i="23"/>
  <c r="G601" i="23" s="1"/>
  <c r="G600" i="23" s="1"/>
  <c r="G599" i="23" s="1"/>
  <c r="H651" i="23"/>
  <c r="H649" i="23"/>
  <c r="H648" i="23" s="1"/>
  <c r="H665" i="23"/>
  <c r="H663" i="23"/>
  <c r="H662" i="23" s="1"/>
  <c r="H878" i="23"/>
  <c r="H877" i="23"/>
  <c r="H870" i="23"/>
  <c r="H869" i="23"/>
  <c r="H876" i="23" s="1"/>
  <c r="G769" i="23"/>
  <c r="G780" i="23"/>
  <c r="G779" i="23" s="1"/>
  <c r="G784" i="23"/>
  <c r="G783" i="23" s="1"/>
  <c r="G792" i="23"/>
  <c r="G791" i="23" s="1"/>
  <c r="G800" i="23"/>
  <c r="G799" i="23" s="1"/>
  <c r="G816" i="23"/>
  <c r="G815" i="23" s="1"/>
  <c r="G814" i="23" s="1"/>
  <c r="H769" i="23"/>
  <c r="H780" i="23"/>
  <c r="H779" i="23" s="1"/>
  <c r="H784" i="23"/>
  <c r="H783" i="23" s="1"/>
  <c r="H800" i="23"/>
  <c r="H799" i="23" s="1"/>
  <c r="H816" i="23"/>
  <c r="H815" i="23" s="1"/>
  <c r="H814" i="23" s="1"/>
  <c r="H866" i="23"/>
  <c r="H865" i="23" s="1"/>
  <c r="H864" i="23" s="1"/>
  <c r="H863" i="23" s="1"/>
  <c r="G309" i="4"/>
  <c r="I309" i="4" s="1"/>
  <c r="G827" i="4"/>
  <c r="I827" i="4" s="1"/>
  <c r="F529" i="3"/>
  <c r="F1037" i="3"/>
  <c r="G474" i="5"/>
  <c r="G475" i="5" l="1"/>
  <c r="I475" i="5" s="1"/>
  <c r="I474" i="5"/>
  <c r="F528" i="3"/>
  <c r="H528" i="3" s="1"/>
  <c r="H529" i="3"/>
  <c r="F1036" i="3"/>
  <c r="H1037" i="3"/>
  <c r="F72" i="21"/>
  <c r="F63" i="21" s="1"/>
  <c r="H229" i="22"/>
  <c r="H228" i="22" s="1"/>
  <c r="H227" i="22" s="1"/>
  <c r="H226" i="22" s="1"/>
  <c r="H1136" i="22" s="1"/>
  <c r="G762" i="21"/>
  <c r="H10" i="23"/>
  <c r="G465" i="21"/>
  <c r="G464" i="21" s="1"/>
  <c r="G37" i="21"/>
  <c r="F446" i="21"/>
  <c r="F445" i="21" s="1"/>
  <c r="F444" i="21" s="1"/>
  <c r="F233" i="21"/>
  <c r="G558" i="23"/>
  <c r="F286" i="21"/>
  <c r="F285" i="21" s="1"/>
  <c r="F284" i="21" s="1"/>
  <c r="G375" i="23"/>
  <c r="G771" i="22"/>
  <c r="C21" i="19"/>
  <c r="E9" i="19" s="1"/>
  <c r="H132" i="22"/>
  <c r="H131" i="22" s="1"/>
  <c r="K22" i="19"/>
  <c r="K10" i="19" s="1"/>
  <c r="F808" i="21"/>
  <c r="F807" i="21" s="1"/>
  <c r="F806" i="21" s="1"/>
  <c r="F795" i="21" s="1"/>
  <c r="G67" i="23"/>
  <c r="H27" i="23"/>
  <c r="G272" i="23"/>
  <c r="G271" i="23" s="1"/>
  <c r="G270" i="23" s="1"/>
  <c r="G768" i="23"/>
  <c r="G197" i="23"/>
  <c r="H471" i="23"/>
  <c r="G229" i="23"/>
  <c r="G524" i="23"/>
  <c r="G469" i="22"/>
  <c r="G468" i="22" s="1"/>
  <c r="G1125" i="22" s="1"/>
  <c r="F201" i="21"/>
  <c r="F200" i="21" s="1"/>
  <c r="F199" i="21" s="1"/>
  <c r="G702" i="21"/>
  <c r="G701" i="21" s="1"/>
  <c r="G700" i="21" s="1"/>
  <c r="G699" i="21" s="1"/>
  <c r="F48" i="21"/>
  <c r="F47" i="21" s="1"/>
  <c r="G290" i="23"/>
  <c r="G582" i="23"/>
  <c r="F837" i="21"/>
  <c r="F836" i="21" s="1"/>
  <c r="H543" i="23"/>
  <c r="G59" i="23"/>
  <c r="H458" i="22"/>
  <c r="H453" i="22" s="1"/>
  <c r="H447" i="22" s="1"/>
  <c r="H446" i="22" s="1"/>
  <c r="H445" i="22" s="1"/>
  <c r="G691" i="22"/>
  <c r="H261" i="23"/>
  <c r="F335" i="21"/>
  <c r="G335" i="21" s="1"/>
  <c r="G444" i="23"/>
  <c r="G443" i="23" s="1"/>
  <c r="G442" i="23" s="1"/>
  <c r="G441" i="23" s="1"/>
  <c r="G440" i="23" s="1"/>
  <c r="H196" i="23"/>
  <c r="H195" i="23" s="1"/>
  <c r="H194" i="23" s="1"/>
  <c r="H177" i="23" s="1"/>
  <c r="H496" i="23"/>
  <c r="H492" i="23" s="1"/>
  <c r="H491" i="23" s="1"/>
  <c r="H490" i="23" s="1"/>
  <c r="H54" i="22"/>
  <c r="G731" i="22"/>
  <c r="G730" i="22" s="1"/>
  <c r="G797" i="21"/>
  <c r="G796" i="21" s="1"/>
  <c r="F91" i="21"/>
  <c r="F90" i="21" s="1"/>
  <c r="F85" i="21" s="1"/>
  <c r="H730" i="23"/>
  <c r="H729" i="23" s="1"/>
  <c r="H728" i="23" s="1"/>
  <c r="H727" i="23" s="1"/>
  <c r="H726" i="23" s="1"/>
  <c r="H121" i="23"/>
  <c r="H120" i="23" s="1"/>
  <c r="H119" i="23" s="1"/>
  <c r="H118" i="23" s="1"/>
  <c r="H117" i="23" s="1"/>
  <c r="G955" i="21"/>
  <c r="G954" i="21" s="1"/>
  <c r="G953" i="21" s="1"/>
  <c r="G952" i="21" s="1"/>
  <c r="F653" i="21"/>
  <c r="F644" i="21" s="1"/>
  <c r="F620" i="21" s="1"/>
  <c r="D35" i="20" s="1"/>
  <c r="F887" i="21"/>
  <c r="F886" i="21" s="1"/>
  <c r="D47" i="20" s="1"/>
  <c r="G687" i="23"/>
  <c r="G686" i="23" s="1"/>
  <c r="G685" i="23" s="1"/>
  <c r="G1069" i="22"/>
  <c r="G1068" i="22" s="1"/>
  <c r="G1067" i="22" s="1"/>
  <c r="H562" i="23"/>
  <c r="H561" i="23" s="1"/>
  <c r="H560" i="23" s="1"/>
  <c r="H559" i="23" s="1"/>
  <c r="H42" i="23"/>
  <c r="H65" i="23"/>
  <c r="H64" i="23" s="1"/>
  <c r="H63" i="23" s="1"/>
  <c r="H62" i="23" s="1"/>
  <c r="H61" i="23" s="1"/>
  <c r="H60" i="23" s="1"/>
  <c r="F456" i="21"/>
  <c r="F443" i="21" s="1"/>
  <c r="D31" i="20" s="1"/>
  <c r="H758" i="23"/>
  <c r="H757" i="23" s="1"/>
  <c r="H756" i="23" s="1"/>
  <c r="H755" i="23" s="1"/>
  <c r="H754" i="23" s="1"/>
  <c r="H737" i="23"/>
  <c r="H736" i="23" s="1"/>
  <c r="H735" i="23" s="1"/>
  <c r="H734" i="23" s="1"/>
  <c r="H733" i="23" s="1"/>
  <c r="H656" i="23"/>
  <c r="G170" i="23"/>
  <c r="G169" i="23" s="1"/>
  <c r="G160" i="23" s="1"/>
  <c r="G131" i="23"/>
  <c r="G130" i="23" s="1"/>
  <c r="G129" i="23" s="1"/>
  <c r="G128" i="23" s="1"/>
  <c r="G127" i="23" s="1"/>
  <c r="G456" i="21"/>
  <c r="H507" i="23"/>
  <c r="G925" i="21"/>
  <c r="G924" i="21" s="1"/>
  <c r="G477" i="23"/>
  <c r="F240" i="21"/>
  <c r="G518" i="23"/>
  <c r="G517" i="23" s="1"/>
  <c r="G516" i="23" s="1"/>
  <c r="H25" i="23"/>
  <c r="H24" i="23" s="1"/>
  <c r="F317" i="21"/>
  <c r="F316" i="21" s="1"/>
  <c r="F315" i="21" s="1"/>
  <c r="D28" i="20" s="1"/>
  <c r="G225" i="22"/>
  <c r="G1136" i="22"/>
  <c r="H317" i="22"/>
  <c r="H437" i="23"/>
  <c r="H436" i="23" s="1"/>
  <c r="G803" i="22"/>
  <c r="H1048" i="22"/>
  <c r="G267" i="23"/>
  <c r="G266" i="23" s="1"/>
  <c r="G257" i="23" s="1"/>
  <c r="H552" i="23"/>
  <c r="H551" i="23" s="1"/>
  <c r="G393" i="23"/>
  <c r="G261" i="23"/>
  <c r="F923" i="21"/>
  <c r="D48" i="20" s="1"/>
  <c r="H744" i="23"/>
  <c r="H743" i="23" s="1"/>
  <c r="H742" i="23" s="1"/>
  <c r="H741" i="23" s="1"/>
  <c r="H740" i="23" s="1"/>
  <c r="G82" i="23"/>
  <c r="G746" i="22"/>
  <c r="G745" i="22" s="1"/>
  <c r="G740" i="22" s="1"/>
  <c r="G729" i="22" s="1"/>
  <c r="G36" i="23"/>
  <c r="G35" i="23" s="1"/>
  <c r="G34" i="23" s="1"/>
  <c r="G33" i="23" s="1"/>
  <c r="H474" i="23"/>
  <c r="H701" i="23"/>
  <c r="H700" i="23" s="1"/>
  <c r="H699" i="23" s="1"/>
  <c r="H698" i="23" s="1"/>
  <c r="H697" i="23" s="1"/>
  <c r="H696" i="23" s="1"/>
  <c r="G304" i="22"/>
  <c r="G295" i="22" s="1"/>
  <c r="G47" i="23"/>
  <c r="G46" i="23" s="1"/>
  <c r="G45" i="23" s="1"/>
  <c r="G44" i="23" s="1"/>
  <c r="G43" i="23" s="1"/>
  <c r="G411" i="22"/>
  <c r="G493" i="22"/>
  <c r="H48" i="21" s="1"/>
  <c r="F743" i="21"/>
  <c r="F742" i="21" s="1"/>
  <c r="D39" i="20" s="1"/>
  <c r="F731" i="21"/>
  <c r="F730" i="21" s="1"/>
  <c r="F725" i="21" s="1"/>
  <c r="F714" i="21" s="1"/>
  <c r="D37" i="20" s="1"/>
  <c r="G118" i="21"/>
  <c r="G117" i="21" s="1"/>
  <c r="H405" i="23"/>
  <c r="H403" i="23"/>
  <c r="H402" i="23" s="1"/>
  <c r="H401" i="23" s="1"/>
  <c r="H400" i="23" s="1"/>
  <c r="H398" i="23" s="1"/>
  <c r="G450" i="23"/>
  <c r="G449" i="23" s="1"/>
  <c r="G448" i="23" s="1"/>
  <c r="G447" i="23" s="1"/>
  <c r="G358" i="23"/>
  <c r="H550" i="23"/>
  <c r="H297" i="22"/>
  <c r="H296" i="22" s="1"/>
  <c r="G701" i="23"/>
  <c r="G700" i="23" s="1"/>
  <c r="G699" i="23" s="1"/>
  <c r="G698" i="23" s="1"/>
  <c r="G697" i="23" s="1"/>
  <c r="G696" i="23" s="1"/>
  <c r="H35" i="22"/>
  <c r="H34" i="22" s="1"/>
  <c r="H33" i="22" s="1"/>
  <c r="G548" i="21"/>
  <c r="G359" i="22"/>
  <c r="G358" i="22" s="1"/>
  <c r="G177" i="23"/>
  <c r="G862" i="21"/>
  <c r="G861" i="21" s="1"/>
  <c r="G860" i="21" s="1"/>
  <c r="G859" i="21" s="1"/>
  <c r="G858" i="21" s="1"/>
  <c r="F107" i="21"/>
  <c r="F106" i="21" s="1"/>
  <c r="D15" i="20" s="1"/>
  <c r="G1048" i="22"/>
  <c r="H487" i="23"/>
  <c r="H480" i="23" s="1"/>
  <c r="H479" i="23" s="1"/>
  <c r="H478" i="23" s="1"/>
  <c r="H486" i="23"/>
  <c r="G192" i="22"/>
  <c r="G32" i="21"/>
  <c r="G236" i="22"/>
  <c r="G235" i="22" s="1"/>
  <c r="G234" i="22" s="1"/>
  <c r="E124" i="19"/>
  <c r="G674" i="23"/>
  <c r="G447" i="22"/>
  <c r="G446" i="22" s="1"/>
  <c r="G445" i="22" s="1"/>
  <c r="H1069" i="22"/>
  <c r="H1068" i="22" s="1"/>
  <c r="H1067" i="22" s="1"/>
  <c r="G745" i="21"/>
  <c r="G744" i="21" s="1"/>
  <c r="F567" i="21"/>
  <c r="F543" i="21" s="1"/>
  <c r="F542" i="21" s="1"/>
  <c r="D34" i="20" s="1"/>
  <c r="G276" i="21"/>
  <c r="G275" i="21" s="1"/>
  <c r="G270" i="21" s="1"/>
  <c r="G269" i="21" s="1"/>
  <c r="E25" i="20" s="1"/>
  <c r="G160" i="21"/>
  <c r="G159" i="21" s="1"/>
  <c r="G345" i="23"/>
  <c r="H751" i="23"/>
  <c r="H750" i="23" s="1"/>
  <c r="H749" i="23" s="1"/>
  <c r="H748" i="23" s="1"/>
  <c r="H747" i="23" s="1"/>
  <c r="H691" i="23"/>
  <c r="H870" i="22"/>
  <c r="H867" i="22" s="1"/>
  <c r="H861" i="22" s="1"/>
  <c r="H746" i="22"/>
  <c r="H745" i="22" s="1"/>
  <c r="H740" i="22" s="1"/>
  <c r="H378" i="22"/>
  <c r="H221" i="23"/>
  <c r="H472" i="22"/>
  <c r="H471" i="22" s="1"/>
  <c r="H470" i="22" s="1"/>
  <c r="H469" i="22" s="1"/>
  <c r="H468" i="22" s="1"/>
  <c r="H1125" i="22" s="1"/>
  <c r="H306" i="22"/>
  <c r="H305" i="22" s="1"/>
  <c r="H627" i="23"/>
  <c r="H160" i="21"/>
  <c r="G1016" i="22"/>
  <c r="G1003" i="22" s="1"/>
  <c r="G174" i="22"/>
  <c r="G173" i="22" s="1"/>
  <c r="G172" i="22" s="1"/>
  <c r="G1106" i="22" s="1"/>
  <c r="G848" i="21"/>
  <c r="G843" i="21" s="1"/>
  <c r="G837" i="21" s="1"/>
  <c r="F292" i="21"/>
  <c r="F291" i="21" s="1"/>
  <c r="F183" i="21"/>
  <c r="F182" i="21" s="1"/>
  <c r="H127" i="23"/>
  <c r="G1118" i="22"/>
  <c r="F691" i="21"/>
  <c r="F690" i="21" s="1"/>
  <c r="F689" i="21" s="1"/>
  <c r="D36" i="20" s="1"/>
  <c r="F480" i="21"/>
  <c r="F479" i="21" s="1"/>
  <c r="D33" i="20" s="1"/>
  <c r="I10" i="19"/>
  <c r="H1044" i="22"/>
  <c r="H1043" i="22" s="1"/>
  <c r="H1042" i="22" s="1"/>
  <c r="H1041" i="22" s="1"/>
  <c r="H1040" i="22" s="1"/>
  <c r="H1039" i="22" s="1"/>
  <c r="H1038" i="22" s="1"/>
  <c r="G884" i="21"/>
  <c r="G883" i="21" s="1"/>
  <c r="G882" i="21" s="1"/>
  <c r="G881" i="21" s="1"/>
  <c r="G880" i="21" s="1"/>
  <c r="G872" i="21" s="1"/>
  <c r="H1089" i="22"/>
  <c r="H1086" i="22" s="1"/>
  <c r="H1085" i="22" s="1"/>
  <c r="H1084" i="22" s="1"/>
  <c r="H1083" i="22" s="1"/>
  <c r="H106" i="21" s="1"/>
  <c r="G113" i="21"/>
  <c r="G112" i="21" s="1"/>
  <c r="G109" i="21" s="1"/>
  <c r="G108" i="21" s="1"/>
  <c r="G10" i="21"/>
  <c r="E12" i="20" s="1"/>
  <c r="G725" i="21"/>
  <c r="C75" i="19"/>
  <c r="C74" i="19" s="1"/>
  <c r="C156" i="19" s="1"/>
  <c r="G1098" i="22" s="1"/>
  <c r="G576" i="21"/>
  <c r="G575" i="21" s="1"/>
  <c r="G574" i="21" s="1"/>
  <c r="F31" i="21"/>
  <c r="F30" i="21" s="1"/>
  <c r="F29" i="21" s="1"/>
  <c r="D13" i="20" s="1"/>
  <c r="H738" i="22"/>
  <c r="H737" i="22" s="1"/>
  <c r="G724" i="21"/>
  <c r="G723" i="21" s="1"/>
  <c r="G722" i="21" s="1"/>
  <c r="F137" i="21"/>
  <c r="G798" i="23"/>
  <c r="G797" i="23" s="1"/>
  <c r="G796" i="23" s="1"/>
  <c r="G560" i="23"/>
  <c r="G559" i="23" s="1"/>
  <c r="G142" i="23"/>
  <c r="G141" i="23" s="1"/>
  <c r="G671" i="23"/>
  <c r="H1016" i="22"/>
  <c r="G766" i="22"/>
  <c r="G1138" i="22" s="1"/>
  <c r="G850" i="23"/>
  <c r="G849" i="23" s="1"/>
  <c r="G848" i="23" s="1"/>
  <c r="G847" i="23" s="1"/>
  <c r="G846" i="23" s="1"/>
  <c r="H139" i="21"/>
  <c r="G468" i="23"/>
  <c r="G467" i="23" s="1"/>
  <c r="G466" i="23" s="1"/>
  <c r="D75" i="19"/>
  <c r="D74" i="19" s="1"/>
  <c r="F74" i="19" s="1"/>
  <c r="G130" i="22"/>
  <c r="H48" i="23"/>
  <c r="H581" i="23"/>
  <c r="G776" i="21"/>
  <c r="G775" i="21" s="1"/>
  <c r="G774" i="21" s="1"/>
  <c r="G773" i="21" s="1"/>
  <c r="H37" i="23"/>
  <c r="G695" i="21"/>
  <c r="G694" i="21" s="1"/>
  <c r="G693" i="21" s="1"/>
  <c r="G692" i="21" s="1"/>
  <c r="H557" i="23"/>
  <c r="H325" i="22"/>
  <c r="G675" i="21"/>
  <c r="G674" i="21" s="1"/>
  <c r="G673" i="21" s="1"/>
  <c r="G666" i="21" s="1"/>
  <c r="G12" i="23"/>
  <c r="G11" i="23" s="1"/>
  <c r="G10" i="23"/>
  <c r="G492" i="23"/>
  <c r="G491" i="23" s="1"/>
  <c r="G490" i="23" s="1"/>
  <c r="G959" i="22"/>
  <c r="G1141" i="22" s="1"/>
  <c r="H629" i="22"/>
  <c r="H628" i="22" s="1"/>
  <c r="H615" i="22" s="1"/>
  <c r="G70" i="22"/>
  <c r="G1104" i="22" s="1"/>
  <c r="H432" i="22"/>
  <c r="H431" i="22" s="1"/>
  <c r="G817" i="21"/>
  <c r="G816" i="21" s="1"/>
  <c r="G815" i="21" s="1"/>
  <c r="G1115" i="22"/>
  <c r="G501" i="21"/>
  <c r="G500" i="21" s="1"/>
  <c r="G499" i="21" s="1"/>
  <c r="H236" i="22"/>
  <c r="F124" i="19"/>
  <c r="H765" i="23"/>
  <c r="G480" i="23"/>
  <c r="G479" i="23" s="1"/>
  <c r="G478" i="23" s="1"/>
  <c r="G120" i="23"/>
  <c r="G119" i="23" s="1"/>
  <c r="G118" i="23" s="1"/>
  <c r="G117" i="23" s="1"/>
  <c r="H391" i="22"/>
  <c r="H390" i="22" s="1"/>
  <c r="H389" i="22" s="1"/>
  <c r="G511" i="21"/>
  <c r="G510" i="21" s="1"/>
  <c r="G509" i="21" s="1"/>
  <c r="H496" i="22"/>
  <c r="H493" i="22" s="1"/>
  <c r="H492" i="22" s="1"/>
  <c r="H491" i="22" s="1"/>
  <c r="H490" i="22" s="1"/>
  <c r="H489" i="22" s="1"/>
  <c r="G52" i="21"/>
  <c r="G51" i="21" s="1"/>
  <c r="G48" i="21" s="1"/>
  <c r="G47" i="21" s="1"/>
  <c r="H186" i="22"/>
  <c r="H183" i="22" s="1"/>
  <c r="G245" i="21"/>
  <c r="G244" i="21" s="1"/>
  <c r="G241" i="21" s="1"/>
  <c r="F420" i="21"/>
  <c r="F404" i="21" s="1"/>
  <c r="G207" i="22"/>
  <c r="G206" i="22" s="1"/>
  <c r="G205" i="22" s="1"/>
  <c r="E123" i="19"/>
  <c r="H445" i="23"/>
  <c r="G912" i="21"/>
  <c r="G911" i="21" s="1"/>
  <c r="G910" i="21" s="1"/>
  <c r="G909" i="21" s="1"/>
  <c r="F136" i="19"/>
  <c r="H808" i="23"/>
  <c r="H807" i="23" s="1"/>
  <c r="H675" i="23"/>
  <c r="H983" i="22"/>
  <c r="H980" i="22" s="1"/>
  <c r="H964" i="22" s="1"/>
  <c r="H959" i="22" s="1"/>
  <c r="H1141" i="22" s="1"/>
  <c r="G424" i="21"/>
  <c r="G423" i="21" s="1"/>
  <c r="G420" i="21" s="1"/>
  <c r="G404" i="21" s="1"/>
  <c r="G571" i="23"/>
  <c r="G570" i="23" s="1"/>
  <c r="G569" i="23"/>
  <c r="G525" i="23"/>
  <c r="H844" i="22"/>
  <c r="H839" i="22" s="1"/>
  <c r="H835" i="22" s="1"/>
  <c r="H834" i="22" s="1"/>
  <c r="H833" i="22" s="1"/>
  <c r="H832" i="22" s="1"/>
  <c r="G148" i="21"/>
  <c r="G147" i="21" s="1"/>
  <c r="G142" i="21" s="1"/>
  <c r="G138" i="21" s="1"/>
  <c r="H427" i="22"/>
  <c r="G812" i="21"/>
  <c r="G811" i="21" s="1"/>
  <c r="H851" i="23"/>
  <c r="H153" i="22"/>
  <c r="H152" i="22" s="1"/>
  <c r="H151" i="22" s="1"/>
  <c r="H146" i="22" s="1"/>
  <c r="G207" i="21"/>
  <c r="G206" i="21" s="1"/>
  <c r="G205" i="21" s="1"/>
  <c r="G204" i="21" s="1"/>
  <c r="G199" i="21" s="1"/>
  <c r="H171" i="23"/>
  <c r="H563" i="22"/>
  <c r="H562" i="22" s="1"/>
  <c r="H555" i="22" s="1"/>
  <c r="G494" i="21"/>
  <c r="G493" i="21" s="1"/>
  <c r="G492" i="21" s="1"/>
  <c r="G485" i="21" s="1"/>
  <c r="H523" i="23"/>
  <c r="H372" i="22"/>
  <c r="H369" i="22" s="1"/>
  <c r="H368" i="22" s="1"/>
  <c r="G757" i="21"/>
  <c r="G756" i="21" s="1"/>
  <c r="G753" i="21" s="1"/>
  <c r="G752" i="21" s="1"/>
  <c r="H82" i="22"/>
  <c r="G76" i="21"/>
  <c r="G75" i="21" s="1"/>
  <c r="H611" i="23"/>
  <c r="G431" i="23"/>
  <c r="G430" i="23" s="1"/>
  <c r="G429" i="23" s="1"/>
  <c r="H525" i="23"/>
  <c r="G509" i="23"/>
  <c r="G504" i="23" s="1"/>
  <c r="G503" i="23" s="1"/>
  <c r="G35" i="22"/>
  <c r="G34" i="22" s="1"/>
  <c r="G33" i="22" s="1"/>
  <c r="H1009" i="22"/>
  <c r="G450" i="21"/>
  <c r="G449" i="21" s="1"/>
  <c r="H735" i="22"/>
  <c r="H732" i="22" s="1"/>
  <c r="G721" i="21"/>
  <c r="G720" i="21" s="1"/>
  <c r="G717" i="21" s="1"/>
  <c r="H819" i="22"/>
  <c r="H814" i="22" s="1"/>
  <c r="H813" i="22" s="1"/>
  <c r="H812" i="22" s="1"/>
  <c r="G940" i="21"/>
  <c r="G939" i="21" s="1"/>
  <c r="G934" i="21" s="1"/>
  <c r="G933" i="21" s="1"/>
  <c r="G932" i="21" s="1"/>
  <c r="H429" i="22"/>
  <c r="G814" i="21"/>
  <c r="G813" i="21" s="1"/>
  <c r="H228" i="23"/>
  <c r="G507" i="21"/>
  <c r="G506" i="21" s="1"/>
  <c r="G505" i="21" s="1"/>
  <c r="G498" i="21" s="1"/>
  <c r="H576" i="22"/>
  <c r="H575" i="22" s="1"/>
  <c r="H568" i="22" s="1"/>
  <c r="H476" i="23"/>
  <c r="G652" i="21"/>
  <c r="G651" i="21" s="1"/>
  <c r="G646" i="21" s="1"/>
  <c r="G645" i="21" s="1"/>
  <c r="H180" i="22"/>
  <c r="H179" i="22" s="1"/>
  <c r="H175" i="22" s="1"/>
  <c r="G239" i="21"/>
  <c r="G238" i="21" s="1"/>
  <c r="G237" i="21" s="1"/>
  <c r="G233" i="21" s="1"/>
  <c r="H80" i="22"/>
  <c r="G74" i="21"/>
  <c r="G73" i="21" s="1"/>
  <c r="H32" i="21"/>
  <c r="D31" i="19"/>
  <c r="D9" i="19" s="1"/>
  <c r="G68" i="23"/>
  <c r="H919" i="22"/>
  <c r="H1143" i="22" s="1"/>
  <c r="H723" i="23"/>
  <c r="H722" i="23" s="1"/>
  <c r="H721" i="23" s="1"/>
  <c r="H720" i="23" s="1"/>
  <c r="H719" i="23" s="1"/>
  <c r="H241" i="23"/>
  <c r="H240" i="23" s="1"/>
  <c r="F359" i="21"/>
  <c r="G711" i="23"/>
  <c r="H224" i="23"/>
  <c r="G504" i="21"/>
  <c r="G503" i="21" s="1"/>
  <c r="G502" i="21" s="1"/>
  <c r="G610" i="22"/>
  <c r="G609" i="22" s="1"/>
  <c r="H789" i="23"/>
  <c r="G195" i="21"/>
  <c r="G194" i="21" s="1"/>
  <c r="G193" i="21" s="1"/>
  <c r="G183" i="21" s="1"/>
  <c r="G182" i="21" s="1"/>
  <c r="G550" i="22"/>
  <c r="G473" i="5"/>
  <c r="H1144" i="22"/>
  <c r="G274" i="22"/>
  <c r="G273" i="22" s="1"/>
  <c r="H571" i="23"/>
  <c r="H570" i="23" s="1"/>
  <c r="H569" i="23"/>
  <c r="H887" i="22"/>
  <c r="H886" i="22" s="1"/>
  <c r="H877" i="22" s="1"/>
  <c r="H876" i="22" s="1"/>
  <c r="H875" i="22" s="1"/>
  <c r="G328" i="21"/>
  <c r="G327" i="21" s="1"/>
  <c r="G326" i="21" s="1"/>
  <c r="G418" i="23"/>
  <c r="G417" i="23" s="1"/>
  <c r="G416" i="23" s="1"/>
  <c r="G415" i="23" s="1"/>
  <c r="G414" i="23" s="1"/>
  <c r="G420" i="23"/>
  <c r="H687" i="23"/>
  <c r="H686" i="23" s="1"/>
  <c r="H685" i="23" s="1"/>
  <c r="G661" i="23"/>
  <c r="G659" i="23"/>
  <c r="G652" i="23" s="1"/>
  <c r="H273" i="23"/>
  <c r="G583" i="21"/>
  <c r="G582" i="21" s="1"/>
  <c r="G581" i="21" s="1"/>
  <c r="G580" i="21" s="1"/>
  <c r="H23" i="23"/>
  <c r="H21" i="23"/>
  <c r="H1011" i="22"/>
  <c r="G452" i="21"/>
  <c r="G451" i="21" s="1"/>
  <c r="H455" i="23"/>
  <c r="H829" i="22"/>
  <c r="H826" i="22" s="1"/>
  <c r="H825" i="22" s="1"/>
  <c r="H824" i="22" s="1"/>
  <c r="G950" i="21"/>
  <c r="G949" i="21" s="1"/>
  <c r="G946" i="21" s="1"/>
  <c r="G945" i="21" s="1"/>
  <c r="G944" i="21" s="1"/>
  <c r="G55" i="23"/>
  <c r="G54" i="23" s="1"/>
  <c r="G53" i="23"/>
  <c r="G372" i="23"/>
  <c r="G371" i="23" s="1"/>
  <c r="G365" i="23" s="1"/>
  <c r="G364" i="23" s="1"/>
  <c r="G356" i="23" s="1"/>
  <c r="G1112" i="22"/>
  <c r="H155" i="23"/>
  <c r="H154" i="23" s="1"/>
  <c r="H153" i="23" s="1"/>
  <c r="H142" i="23" s="1"/>
  <c r="H141" i="23" s="1"/>
  <c r="H157" i="23"/>
  <c r="H395" i="23"/>
  <c r="H394" i="23" s="1"/>
  <c r="H397" i="23"/>
  <c r="H213" i="23"/>
  <c r="H705" i="22"/>
  <c r="H704" i="22" s="1"/>
  <c r="H697" i="22" s="1"/>
  <c r="H692" i="22" s="1"/>
  <c r="H691" i="22" s="1"/>
  <c r="G635" i="21"/>
  <c r="G634" i="21" s="1"/>
  <c r="G633" i="21" s="1"/>
  <c r="G626" i="21" s="1"/>
  <c r="G621" i="21" s="1"/>
  <c r="F120" i="19"/>
  <c r="G247" i="23"/>
  <c r="G245" i="23"/>
  <c r="G244" i="23" s="1"/>
  <c r="H234" i="23"/>
  <c r="G570" i="21"/>
  <c r="G569" i="21" s="1"/>
  <c r="G568" i="21" s="1"/>
  <c r="H526" i="22"/>
  <c r="H525" i="22" s="1"/>
  <c r="H524" i="22" s="1"/>
  <c r="H523" i="22" s="1"/>
  <c r="H522" i="22" s="1"/>
  <c r="H521" i="22" s="1"/>
  <c r="G325" i="21"/>
  <c r="G324" i="21" s="1"/>
  <c r="G323" i="21" s="1"/>
  <c r="H361" i="22"/>
  <c r="H360" i="22" s="1"/>
  <c r="G339" i="22"/>
  <c r="G338" i="22" s="1"/>
  <c r="G337" i="22" s="1"/>
  <c r="H511" i="23"/>
  <c r="H309" i="22"/>
  <c r="H308" i="22" s="1"/>
  <c r="G659" i="21"/>
  <c r="G658" i="21" s="1"/>
  <c r="G657" i="21" s="1"/>
  <c r="G653" i="21" s="1"/>
  <c r="H805" i="23"/>
  <c r="H271" i="22"/>
  <c r="H270" i="22" s="1"/>
  <c r="G203" i="21"/>
  <c r="H1142" i="22"/>
  <c r="H192" i="22"/>
  <c r="H392" i="23"/>
  <c r="H108" i="22"/>
  <c r="H107" i="22" s="1"/>
  <c r="G105" i="21"/>
  <c r="G104" i="21" s="1"/>
  <c r="G103" i="21" s="1"/>
  <c r="G102" i="21" s="1"/>
  <c r="H358" i="23"/>
  <c r="H357" i="23"/>
  <c r="F12" i="21"/>
  <c r="F11" i="21" s="1"/>
  <c r="F10" i="21" s="1"/>
  <c r="H435" i="23"/>
  <c r="H433" i="23"/>
  <c r="H432" i="23" s="1"/>
  <c r="G884" i="23"/>
  <c r="H859" i="23"/>
  <c r="H1001" i="22"/>
  <c r="H1000" i="22" s="1"/>
  <c r="G442" i="21"/>
  <c r="G441" i="21" s="1"/>
  <c r="G440" i="21" s="1"/>
  <c r="H420" i="23"/>
  <c r="H418" i="23"/>
  <c r="H417" i="23" s="1"/>
  <c r="H336" i="23"/>
  <c r="H334" i="23"/>
  <c r="H333" i="23" s="1"/>
  <c r="H332" i="23" s="1"/>
  <c r="H331" i="23" s="1"/>
  <c r="H330" i="23" s="1"/>
  <c r="G891" i="22"/>
  <c r="G890" i="22" s="1"/>
  <c r="G889" i="22" s="1"/>
  <c r="H892" i="22"/>
  <c r="H891" i="22" s="1"/>
  <c r="H890" i="22" s="1"/>
  <c r="G268" i="22"/>
  <c r="G244" i="22" s="1"/>
  <c r="G243" i="22" s="1"/>
  <c r="G269" i="22"/>
  <c r="G217" i="23"/>
  <c r="G216" i="23" s="1"/>
  <c r="H58" i="23"/>
  <c r="H355" i="22"/>
  <c r="H354" i="22" s="1"/>
  <c r="H353" i="22" s="1"/>
  <c r="H339" i="22" s="1"/>
  <c r="H338" i="22" s="1"/>
  <c r="H337" i="22" s="1"/>
  <c r="G708" i="21"/>
  <c r="G707" i="21" s="1"/>
  <c r="G706" i="21" s="1"/>
  <c r="G705" i="21" s="1"/>
  <c r="H81" i="23"/>
  <c r="H283" i="22"/>
  <c r="H282" i="22" s="1"/>
  <c r="H281" i="22" s="1"/>
  <c r="H276" i="22" s="1"/>
  <c r="H275" i="22" s="1"/>
  <c r="G300" i="21"/>
  <c r="G299" i="21" s="1"/>
  <c r="G298" i="21" s="1"/>
  <c r="G297" i="21" s="1"/>
  <c r="G292" i="21" s="1"/>
  <c r="G291" i="21" s="1"/>
  <c r="H344" i="23"/>
  <c r="H345" i="23"/>
  <c r="H189" i="22"/>
  <c r="H188" i="22" s="1"/>
  <c r="G248" i="21"/>
  <c r="G247" i="21" s="1"/>
  <c r="G246" i="21" s="1"/>
  <c r="H377" i="23"/>
  <c r="H98" i="22"/>
  <c r="G95" i="21"/>
  <c r="G94" i="21" s="1"/>
  <c r="F951" i="21"/>
  <c r="D50" i="20"/>
  <c r="D49" i="20" s="1"/>
  <c r="G433" i="21"/>
  <c r="F432" i="21"/>
  <c r="G214" i="23"/>
  <c r="G212" i="23"/>
  <c r="G211" i="23" s="1"/>
  <c r="G202" i="23" s="1"/>
  <c r="H238" i="23"/>
  <c r="G573" i="21"/>
  <c r="G572" i="21" s="1"/>
  <c r="G571" i="21" s="1"/>
  <c r="H289" i="23"/>
  <c r="H590" i="22"/>
  <c r="H589" i="22" s="1"/>
  <c r="H588" i="22" s="1"/>
  <c r="G521" i="21"/>
  <c r="G520" i="21" s="1"/>
  <c r="G519" i="21" s="1"/>
  <c r="G518" i="21" s="1"/>
  <c r="H454" i="22"/>
  <c r="H75" i="23"/>
  <c r="H73" i="23"/>
  <c r="H72" i="23" s="1"/>
  <c r="H71" i="23" s="1"/>
  <c r="H70" i="23" s="1"/>
  <c r="H69" i="23" s="1"/>
  <c r="H374" i="23"/>
  <c r="H96" i="22"/>
  <c r="G93" i="21"/>
  <c r="G92" i="21" s="1"/>
  <c r="G765" i="23"/>
  <c r="G764" i="23" s="1"/>
  <c r="G763" i="23" s="1"/>
  <c r="G762" i="23" s="1"/>
  <c r="G761" i="23" s="1"/>
  <c r="H210" i="23"/>
  <c r="H208" i="23"/>
  <c r="H207" i="23" s="1"/>
  <c r="H862" i="23"/>
  <c r="H861" i="23"/>
  <c r="H884" i="23"/>
  <c r="G546" i="23"/>
  <c r="G545" i="23" s="1"/>
  <c r="G808" i="23"/>
  <c r="G807" i="23" s="1"/>
  <c r="G611" i="23"/>
  <c r="G598" i="23" s="1"/>
  <c r="G597" i="23" s="1"/>
  <c r="G20" i="23"/>
  <c r="G19" i="23" s="1"/>
  <c r="G18" i="23" s="1"/>
  <c r="G17" i="23" s="1"/>
  <c r="G860" i="23"/>
  <c r="G858" i="23"/>
  <c r="G857" i="23" s="1"/>
  <c r="G856" i="23" s="1"/>
  <c r="G855" i="23" s="1"/>
  <c r="G854" i="23" s="1"/>
  <c r="G853" i="23" s="1"/>
  <c r="H661" i="23"/>
  <c r="H659" i="23"/>
  <c r="H427" i="23"/>
  <c r="H780" i="22"/>
  <c r="H779" i="22" s="1"/>
  <c r="H778" i="22" s="1"/>
  <c r="H766" i="22" s="1"/>
  <c r="G901" i="21"/>
  <c r="G900" i="21" s="1"/>
  <c r="G899" i="21" s="1"/>
  <c r="G892" i="21" s="1"/>
  <c r="G866" i="22"/>
  <c r="G861" i="22"/>
  <c r="G343" i="23"/>
  <c r="G341" i="23"/>
  <c r="G340" i="23" s="1"/>
  <c r="G339" i="23" s="1"/>
  <c r="G338" i="23" s="1"/>
  <c r="G337" i="23" s="1"/>
  <c r="H278" i="23"/>
  <c r="H276" i="23"/>
  <c r="H275" i="23" s="1"/>
  <c r="H246" i="23"/>
  <c r="H645" i="22"/>
  <c r="H644" i="22" s="1"/>
  <c r="H634" i="22" s="1"/>
  <c r="G579" i="21"/>
  <c r="G578" i="21" s="1"/>
  <c r="G577" i="21" s="1"/>
  <c r="G95" i="22"/>
  <c r="G94" i="22" s="1"/>
  <c r="G89" i="22" s="1"/>
  <c r="G1135" i="22" s="1"/>
  <c r="H341" i="23"/>
  <c r="H340" i="23" s="1"/>
  <c r="H339" i="23" s="1"/>
  <c r="H338" i="23" s="1"/>
  <c r="H337" i="23" s="1"/>
  <c r="H343" i="23"/>
  <c r="G239" i="23"/>
  <c r="G237" i="23"/>
  <c r="G236" i="23" s="1"/>
  <c r="H268" i="23"/>
  <c r="H267" i="23" s="1"/>
  <c r="H266" i="23" s="1"/>
  <c r="H257" i="23" s="1"/>
  <c r="H269" i="23"/>
  <c r="H586" i="22"/>
  <c r="H585" i="22" s="1"/>
  <c r="H578" i="22" s="1"/>
  <c r="G517" i="21"/>
  <c r="G516" i="21" s="1"/>
  <c r="G515" i="21" s="1"/>
  <c r="G508" i="21" s="1"/>
  <c r="H515" i="23"/>
  <c r="H513" i="23"/>
  <c r="H89" i="23"/>
  <c r="H87" i="23"/>
  <c r="H86" i="23" s="1"/>
  <c r="H85" i="23" s="1"/>
  <c r="H84" i="23" s="1"/>
  <c r="H83" i="23" s="1"/>
  <c r="G399" i="23"/>
  <c r="G398" i="23"/>
  <c r="H209" i="22"/>
  <c r="H208" i="22" s="1"/>
  <c r="G288" i="21"/>
  <c r="G287" i="21" s="1"/>
  <c r="G286" i="21" s="1"/>
  <c r="G507" i="22"/>
  <c r="G472" i="5" l="1"/>
  <c r="I472" i="5" s="1"/>
  <c r="I473" i="5"/>
  <c r="F1035" i="3"/>
  <c r="H1035" i="3" s="1"/>
  <c r="H1036" i="3"/>
  <c r="G1047" i="22"/>
  <c r="G1046" i="22" s="1"/>
  <c r="H225" i="22"/>
  <c r="G31" i="21"/>
  <c r="G30" i="21" s="1"/>
  <c r="G29" i="21" s="1"/>
  <c r="E13" i="20" s="1"/>
  <c r="F232" i="21"/>
  <c r="F231" i="21" s="1"/>
  <c r="D21" i="20" s="1"/>
  <c r="D20" i="20" s="1"/>
  <c r="H399" i="23"/>
  <c r="F283" i="21"/>
  <c r="F249" i="21" s="1"/>
  <c r="H652" i="23"/>
  <c r="H130" i="22"/>
  <c r="H64" i="21"/>
  <c r="G765" i="22"/>
  <c r="G764" i="22" s="1"/>
  <c r="G1122" i="22" s="1"/>
  <c r="G1123" i="22" s="1"/>
  <c r="G544" i="23"/>
  <c r="H731" i="22"/>
  <c r="H730" i="22" s="1"/>
  <c r="H729" i="22" s="1"/>
  <c r="G887" i="21"/>
  <c r="G886" i="21" s="1"/>
  <c r="E47" i="20" s="1"/>
  <c r="G137" i="21"/>
  <c r="G136" i="21" s="1"/>
  <c r="E17" i="20" s="1"/>
  <c r="C9" i="19"/>
  <c r="C157" i="19" s="1"/>
  <c r="G1095" i="22" s="1"/>
  <c r="G716" i="21"/>
  <c r="G715" i="21" s="1"/>
  <c r="G714" i="21" s="1"/>
  <c r="E37" i="20" s="1"/>
  <c r="H598" i="23"/>
  <c r="H597" i="23" s="1"/>
  <c r="H866" i="22"/>
  <c r="H197" i="23"/>
  <c r="F332" i="21"/>
  <c r="F331" i="21" s="1"/>
  <c r="F330" i="21" s="1"/>
  <c r="F329" i="21" s="1"/>
  <c r="D29" i="20" s="1"/>
  <c r="H13" i="21"/>
  <c r="F46" i="21"/>
  <c r="F45" i="21" s="1"/>
  <c r="D43" i="20"/>
  <c r="D41" i="20" s="1"/>
  <c r="F829" i="21"/>
  <c r="H830" i="21" s="1"/>
  <c r="G670" i="23"/>
  <c r="G647" i="23" s="1"/>
  <c r="G646" i="23" s="1"/>
  <c r="G645" i="23" s="1"/>
  <c r="G644" i="23" s="1"/>
  <c r="G836" i="21"/>
  <c r="E43" i="20" s="1"/>
  <c r="H711" i="23"/>
  <c r="E50" i="20"/>
  <c r="E49" i="20" s="1"/>
  <c r="G951" i="21"/>
  <c r="G1139" i="22"/>
  <c r="G109" i="23"/>
  <c r="G107" i="21"/>
  <c r="G106" i="21" s="1"/>
  <c r="E15" i="20" s="1"/>
  <c r="H803" i="22"/>
  <c r="H26" i="23"/>
  <c r="H508" i="23"/>
  <c r="H506" i="23"/>
  <c r="H505" i="23" s="1"/>
  <c r="D46" i="20"/>
  <c r="G644" i="21"/>
  <c r="G620" i="21" s="1"/>
  <c r="E35" i="20" s="1"/>
  <c r="G502" i="23"/>
  <c r="G218" i="22"/>
  <c r="G1119" i="22" s="1"/>
  <c r="H20" i="23"/>
  <c r="H19" i="23" s="1"/>
  <c r="H18" i="23" s="1"/>
  <c r="H17" i="23" s="1"/>
  <c r="H9" i="23" s="1"/>
  <c r="E74" i="19"/>
  <c r="E76" i="19" s="1"/>
  <c r="F885" i="21"/>
  <c r="H1047" i="22"/>
  <c r="H1046" i="22" s="1"/>
  <c r="G357" i="22"/>
  <c r="G1116" i="22" s="1"/>
  <c r="G1117" i="22" s="1"/>
  <c r="H304" i="22"/>
  <c r="H295" i="22" s="1"/>
  <c r="H294" i="22" s="1"/>
  <c r="H293" i="22" s="1"/>
  <c r="G191" i="22"/>
  <c r="H431" i="23"/>
  <c r="H430" i="23" s="1"/>
  <c r="H429" i="23" s="1"/>
  <c r="H109" i="23"/>
  <c r="G294" i="22"/>
  <c r="G293" i="22" s="1"/>
  <c r="G492" i="22"/>
  <c r="G491" i="22" s="1"/>
  <c r="G490" i="22" s="1"/>
  <c r="G489" i="22" s="1"/>
  <c r="G488" i="22" s="1"/>
  <c r="G1121" i="22"/>
  <c r="H889" i="22"/>
  <c r="G953" i="22"/>
  <c r="G874" i="22" s="1"/>
  <c r="G1110" i="22" s="1"/>
  <c r="G1111" i="22" s="1"/>
  <c r="H182" i="22"/>
  <c r="H174" i="22" s="1"/>
  <c r="H173" i="22" s="1"/>
  <c r="H172" i="22" s="1"/>
  <c r="H1106" i="22" s="1"/>
  <c r="H610" i="22"/>
  <c r="H609" i="22" s="1"/>
  <c r="G691" i="21"/>
  <c r="G690" i="21" s="1"/>
  <c r="G689" i="21" s="1"/>
  <c r="E36" i="20" s="1"/>
  <c r="G446" i="21"/>
  <c r="G445" i="21" s="1"/>
  <c r="G444" i="21" s="1"/>
  <c r="G443" i="21" s="1"/>
  <c r="E31" i="20" s="1"/>
  <c r="H79" i="22"/>
  <c r="H70" i="22" s="1"/>
  <c r="H53" i="22" s="1"/>
  <c r="G406" i="23"/>
  <c r="G1097" i="22"/>
  <c r="I1098" i="22" s="1"/>
  <c r="I32" i="21"/>
  <c r="G231" i="23"/>
  <c r="G230" i="23" s="1"/>
  <c r="G215" i="23" s="1"/>
  <c r="G9" i="23"/>
  <c r="D156" i="19"/>
  <c r="H1098" i="22" s="1"/>
  <c r="D32" i="20"/>
  <c r="G72" i="21"/>
  <c r="G63" i="21" s="1"/>
  <c r="G46" i="21" s="1"/>
  <c r="F136" i="21"/>
  <c r="D17" i="20" s="1"/>
  <c r="D40" i="20"/>
  <c r="D38" i="20" s="1"/>
  <c r="F741" i="21"/>
  <c r="H742" i="21" s="1"/>
  <c r="E45" i="20"/>
  <c r="G53" i="22"/>
  <c r="G52" i="22" s="1"/>
  <c r="G32" i="22" s="1"/>
  <c r="G795" i="23"/>
  <c r="H95" i="22"/>
  <c r="H94" i="22" s="1"/>
  <c r="F9" i="19"/>
  <c r="H1006" i="22"/>
  <c r="H1005" i="22" s="1"/>
  <c r="H1004" i="22" s="1"/>
  <c r="H1003" i="22" s="1"/>
  <c r="G923" i="21"/>
  <c r="E48" i="20" s="1"/>
  <c r="H47" i="23"/>
  <c r="H46" i="23" s="1"/>
  <c r="H45" i="23" s="1"/>
  <c r="H44" i="23" s="1"/>
  <c r="H43" i="23" s="1"/>
  <c r="H49" i="23"/>
  <c r="H550" i="22"/>
  <c r="G1109" i="22"/>
  <c r="G465" i="23"/>
  <c r="H444" i="23"/>
  <c r="H443" i="23" s="1"/>
  <c r="H442" i="23" s="1"/>
  <c r="H441" i="23" s="1"/>
  <c r="H440" i="23" s="1"/>
  <c r="H446" i="23"/>
  <c r="H1121" i="22"/>
  <c r="H235" i="22"/>
  <c r="H234" i="22" s="1"/>
  <c r="H218" i="22" s="1"/>
  <c r="H1119" i="22" s="1"/>
  <c r="G91" i="21"/>
  <c r="G90" i="21" s="1"/>
  <c r="G85" i="21" s="1"/>
  <c r="G317" i="21"/>
  <c r="G316" i="21" s="1"/>
  <c r="G315" i="21" s="1"/>
  <c r="E28" i="20" s="1"/>
  <c r="H558" i="23"/>
  <c r="H556" i="23"/>
  <c r="H555" i="23" s="1"/>
  <c r="H546" i="23" s="1"/>
  <c r="H545" i="23" s="1"/>
  <c r="H544" i="23" s="1"/>
  <c r="H580" i="23"/>
  <c r="H579" i="23" s="1"/>
  <c r="H578" i="23" s="1"/>
  <c r="H577" i="23" s="1"/>
  <c r="H576" i="23" s="1"/>
  <c r="H582" i="23"/>
  <c r="H488" i="22"/>
  <c r="H359" i="22"/>
  <c r="H358" i="22" s="1"/>
  <c r="G743" i="21"/>
  <c r="G742" i="21" s="1"/>
  <c r="E39" i="20" s="1"/>
  <c r="H1118" i="22"/>
  <c r="H38" i="23"/>
  <c r="H36" i="23"/>
  <c r="H35" i="23" s="1"/>
  <c r="H34" i="23" s="1"/>
  <c r="H33" i="23" s="1"/>
  <c r="H32" i="23" s="1"/>
  <c r="D157" i="19"/>
  <c r="H1095" i="22" s="1"/>
  <c r="F10" i="19"/>
  <c r="D155" i="19"/>
  <c r="D17" i="24" s="1"/>
  <c r="H477" i="23"/>
  <c r="H475" i="23"/>
  <c r="H468" i="23" s="1"/>
  <c r="H467" i="23" s="1"/>
  <c r="H466" i="23" s="1"/>
  <c r="H465" i="23" s="1"/>
  <c r="H524" i="23"/>
  <c r="H522" i="23"/>
  <c r="H518" i="23" s="1"/>
  <c r="H517" i="23" s="1"/>
  <c r="H516" i="23" s="1"/>
  <c r="H850" i="23"/>
  <c r="H849" i="23" s="1"/>
  <c r="H848" i="23" s="1"/>
  <c r="H847" i="23" s="1"/>
  <c r="H846" i="23" s="1"/>
  <c r="H852" i="23"/>
  <c r="H424" i="22"/>
  <c r="H423" i="22" s="1"/>
  <c r="H422" i="22" s="1"/>
  <c r="H411" i="22" s="1"/>
  <c r="H676" i="23"/>
  <c r="H674" i="23"/>
  <c r="H670" i="23" s="1"/>
  <c r="H227" i="23"/>
  <c r="H226" i="23" s="1"/>
  <c r="H229" i="23"/>
  <c r="H172" i="23"/>
  <c r="H170" i="23"/>
  <c r="H169" i="23" s="1"/>
  <c r="H160" i="23" s="1"/>
  <c r="G808" i="21"/>
  <c r="G807" i="21" s="1"/>
  <c r="G806" i="21" s="1"/>
  <c r="G795" i="21" s="1"/>
  <c r="G1133" i="22"/>
  <c r="F478" i="21"/>
  <c r="G567" i="21"/>
  <c r="G543" i="21" s="1"/>
  <c r="G542" i="21" s="1"/>
  <c r="E34" i="20" s="1"/>
  <c r="H790" i="23"/>
  <c r="H788" i="23"/>
  <c r="H787" i="23" s="1"/>
  <c r="H764" i="23" s="1"/>
  <c r="H763" i="23" s="1"/>
  <c r="H762" i="23" s="1"/>
  <c r="H761" i="23" s="1"/>
  <c r="G549" i="22"/>
  <c r="G548" i="22" s="1"/>
  <c r="G537" i="22" s="1"/>
  <c r="H223" i="23"/>
  <c r="H222" i="23" s="1"/>
  <c r="H225" i="23"/>
  <c r="G256" i="23"/>
  <c r="G255" i="23" s="1"/>
  <c r="H274" i="22"/>
  <c r="H273" i="22" s="1"/>
  <c r="H1132" i="22"/>
  <c r="H428" i="23"/>
  <c r="H426" i="23"/>
  <c r="H425" i="23" s="1"/>
  <c r="H416" i="23" s="1"/>
  <c r="H415" i="23" s="1"/>
  <c r="H414" i="23" s="1"/>
  <c r="G240" i="21"/>
  <c r="G232" i="21" s="1"/>
  <c r="G231" i="21" s="1"/>
  <c r="H247" i="23"/>
  <c r="H245" i="23"/>
  <c r="H244" i="23" s="1"/>
  <c r="G1131" i="22"/>
  <c r="G860" i="22"/>
  <c r="G853" i="22" s="1"/>
  <c r="H1138" i="22"/>
  <c r="H765" i="22"/>
  <c r="H375" i="23"/>
  <c r="H373" i="23"/>
  <c r="H378" i="23"/>
  <c r="H376" i="23"/>
  <c r="H1115" i="22"/>
  <c r="D12" i="20"/>
  <c r="G285" i="21"/>
  <c r="G284" i="21" s="1"/>
  <c r="G283" i="21" s="1"/>
  <c r="H214" i="23"/>
  <c r="H212" i="23"/>
  <c r="H211" i="23" s="1"/>
  <c r="H202" i="23" s="1"/>
  <c r="H456" i="23"/>
  <c r="H454" i="23"/>
  <c r="H450" i="23" s="1"/>
  <c r="H449" i="23" s="1"/>
  <c r="H448" i="23" s="1"/>
  <c r="H447" i="23" s="1"/>
  <c r="H207" i="22"/>
  <c r="F123" i="19"/>
  <c r="G480" i="21"/>
  <c r="G479" i="21" s="1"/>
  <c r="H771" i="22"/>
  <c r="G31" i="23"/>
  <c r="G32" i="23"/>
  <c r="H999" i="22"/>
  <c r="H998" i="22" s="1"/>
  <c r="H1112" i="22"/>
  <c r="H393" i="23"/>
  <c r="H391" i="23"/>
  <c r="H390" i="23" s="1"/>
  <c r="H389" i="23" s="1"/>
  <c r="H388" i="23" s="1"/>
  <c r="H387" i="23" s="1"/>
  <c r="H269" i="22"/>
  <c r="H268" i="22"/>
  <c r="H512" i="23"/>
  <c r="H510" i="23"/>
  <c r="H509" i="23" s="1"/>
  <c r="H235" i="23"/>
  <c r="H233" i="23"/>
  <c r="H232" i="23" s="1"/>
  <c r="G1145" i="22"/>
  <c r="H239" i="23"/>
  <c r="H237" i="23"/>
  <c r="H236" i="23" s="1"/>
  <c r="G438" i="21"/>
  <c r="G439" i="21"/>
  <c r="H106" i="22"/>
  <c r="H290" i="23"/>
  <c r="H288" i="23"/>
  <c r="H287" i="23" s="1"/>
  <c r="H286" i="23" s="1"/>
  <c r="H285" i="23" s="1"/>
  <c r="H284" i="23" s="1"/>
  <c r="G432" i="21"/>
  <c r="G431" i="21" s="1"/>
  <c r="G399" i="21" s="1"/>
  <c r="F431" i="21"/>
  <c r="F399" i="21" s="1"/>
  <c r="F393" i="21" s="1"/>
  <c r="D30" i="20" s="1"/>
  <c r="H82" i="23"/>
  <c r="H80" i="23"/>
  <c r="H79" i="23" s="1"/>
  <c r="H78" i="23" s="1"/>
  <c r="H77" i="23" s="1"/>
  <c r="H76" i="23" s="1"/>
  <c r="H68" i="23" s="1"/>
  <c r="H59" i="23"/>
  <c r="H57" i="23"/>
  <c r="H56" i="23" s="1"/>
  <c r="H1131" i="22"/>
  <c r="H860" i="22"/>
  <c r="H853" i="22" s="1"/>
  <c r="H860" i="23"/>
  <c r="H858" i="23"/>
  <c r="H857" i="23" s="1"/>
  <c r="H856" i="23" s="1"/>
  <c r="H855" i="23" s="1"/>
  <c r="H854" i="23" s="1"/>
  <c r="H853" i="23" s="1"/>
  <c r="H806" i="23"/>
  <c r="H804" i="23"/>
  <c r="H803" i="23" s="1"/>
  <c r="H798" i="23" s="1"/>
  <c r="H797" i="23" s="1"/>
  <c r="H796" i="23" s="1"/>
  <c r="H274" i="23"/>
  <c r="H272" i="23"/>
  <c r="H271" i="23" s="1"/>
  <c r="H270" i="23" s="1"/>
  <c r="H256" i="23" s="1"/>
  <c r="H255" i="23" s="1"/>
  <c r="G159" i="23"/>
  <c r="G158" i="23" s="1"/>
  <c r="G1132" i="22"/>
  <c r="H647" i="23" l="1"/>
  <c r="H646" i="23" s="1"/>
  <c r="H645" i="23" s="1"/>
  <c r="H644" i="23" s="1"/>
  <c r="F230" i="21"/>
  <c r="D26" i="20"/>
  <c r="D22" i="20" s="1"/>
  <c r="E10" i="19"/>
  <c r="D10" i="20"/>
  <c r="F8" i="21" s="1"/>
  <c r="C155" i="19"/>
  <c r="C17" i="24" s="1"/>
  <c r="G756" i="22"/>
  <c r="G332" i="21"/>
  <c r="G331" i="21" s="1"/>
  <c r="G330" i="21" s="1"/>
  <c r="G329" i="21" s="1"/>
  <c r="E29" i="20" s="1"/>
  <c r="F9" i="21"/>
  <c r="E41" i="20"/>
  <c r="G242" i="22"/>
  <c r="H7" i="21"/>
  <c r="I64" i="21"/>
  <c r="H1133" i="22"/>
  <c r="I13" i="21"/>
  <c r="G30" i="23"/>
  <c r="H89" i="22"/>
  <c r="H1135" i="22" s="1"/>
  <c r="G829" i="21"/>
  <c r="I830" i="21" s="1"/>
  <c r="H504" i="23"/>
  <c r="H503" i="23" s="1"/>
  <c r="H502" i="23" s="1"/>
  <c r="H464" i="23" s="1"/>
  <c r="L464" i="23" s="1"/>
  <c r="H764" i="22"/>
  <c r="H1122" i="22" s="1"/>
  <c r="H1123" i="22" s="1"/>
  <c r="G1120" i="22"/>
  <c r="D53" i="20"/>
  <c r="F122" i="19"/>
  <c r="H1120" i="22"/>
  <c r="G464" i="23"/>
  <c r="J464" i="23" s="1"/>
  <c r="I45" i="21"/>
  <c r="E53" i="20"/>
  <c r="H217" i="23"/>
  <c r="H216" i="23" s="1"/>
  <c r="D14" i="20"/>
  <c r="D11" i="20" s="1"/>
  <c r="G1099" i="22"/>
  <c r="G885" i="21"/>
  <c r="G1102" i="22"/>
  <c r="G1103" i="22" s="1"/>
  <c r="G31" i="22"/>
  <c r="H549" i="22"/>
  <c r="H548" i="22" s="1"/>
  <c r="H537" i="22" s="1"/>
  <c r="G140" i="23"/>
  <c r="H795" i="23"/>
  <c r="H159" i="23"/>
  <c r="H158" i="23" s="1"/>
  <c r="H357" i="22"/>
  <c r="H1116" i="22" s="1"/>
  <c r="H1117" i="22" s="1"/>
  <c r="G45" i="21"/>
  <c r="E46" i="20"/>
  <c r="H1139" i="22"/>
  <c r="H1104" i="22"/>
  <c r="E40" i="20"/>
  <c r="E38" i="20" s="1"/>
  <c r="G741" i="21"/>
  <c r="I742" i="21" s="1"/>
  <c r="H372" i="23"/>
  <c r="H371" i="23" s="1"/>
  <c r="H365" i="23" s="1"/>
  <c r="H364" i="23" s="1"/>
  <c r="H356" i="23" s="1"/>
  <c r="H406" i="23"/>
  <c r="G1113" i="22"/>
  <c r="G1114" i="22" s="1"/>
  <c r="D27" i="20"/>
  <c r="H231" i="23"/>
  <c r="H230" i="23" s="1"/>
  <c r="H244" i="22"/>
  <c r="H243" i="22" s="1"/>
  <c r="H1145" i="22"/>
  <c r="H1109" i="22"/>
  <c r="H206" i="22"/>
  <c r="H205" i="22" s="1"/>
  <c r="H191" i="22" s="1"/>
  <c r="H1107" i="22" s="1"/>
  <c r="H1097" i="22"/>
  <c r="E26" i="20"/>
  <c r="E22" i="20" s="1"/>
  <c r="G249" i="21"/>
  <c r="G1151" i="22"/>
  <c r="G895" i="23" s="1"/>
  <c r="H55" i="23"/>
  <c r="H54" i="23" s="1"/>
  <c r="H53" i="23"/>
  <c r="H31" i="23" s="1"/>
  <c r="H30" i="23" s="1"/>
  <c r="H1146" i="22"/>
  <c r="H953" i="22"/>
  <c r="H874" i="22" s="1"/>
  <c r="H1110" i="22" s="1"/>
  <c r="H1111" i="22" s="1"/>
  <c r="G478" i="21"/>
  <c r="E33" i="20"/>
  <c r="E32" i="20" s="1"/>
  <c r="G393" i="21"/>
  <c r="F314" i="21"/>
  <c r="G831" i="22"/>
  <c r="G1107" i="22"/>
  <c r="G1108" i="22" s="1"/>
  <c r="G230" i="21"/>
  <c r="E21" i="20"/>
  <c r="E20" i="20" s="1"/>
  <c r="G1230" i="4"/>
  <c r="I1230" i="4" s="1"/>
  <c r="H52" i="22" l="1"/>
  <c r="H45" i="21" s="1"/>
  <c r="I7" i="21"/>
  <c r="F970" i="21"/>
  <c r="D52" i="20" s="1"/>
  <c r="G893" i="23"/>
  <c r="G897" i="23" s="1"/>
  <c r="H756" i="22"/>
  <c r="H215" i="23"/>
  <c r="H1113" i="22"/>
  <c r="H1114" i="22" s="1"/>
  <c r="H242" i="22"/>
  <c r="G1094" i="22"/>
  <c r="D56" i="20" s="1"/>
  <c r="H140" i="23"/>
  <c r="H893" i="23" s="1"/>
  <c r="E14" i="20"/>
  <c r="E11" i="20" s="1"/>
  <c r="G9" i="21"/>
  <c r="H1108" i="22"/>
  <c r="H1151" i="22"/>
  <c r="H895" i="23" s="1"/>
  <c r="G1128" i="22"/>
  <c r="G1127" i="22"/>
  <c r="G1130" i="22" s="1"/>
  <c r="H831" i="22"/>
  <c r="H1099" i="22"/>
  <c r="J1098" i="22"/>
  <c r="E30" i="20"/>
  <c r="E27" i="20" s="1"/>
  <c r="G314" i="21"/>
  <c r="D51" i="20"/>
  <c r="G897" i="4"/>
  <c r="I897" i="4" s="1"/>
  <c r="G898" i="4"/>
  <c r="I898" i="4" s="1"/>
  <c r="H32" i="22" l="1"/>
  <c r="H31" i="22" s="1"/>
  <c r="H1094" i="22" s="1"/>
  <c r="G1096" i="22"/>
  <c r="E1095" i="22" s="1"/>
  <c r="E51" i="20"/>
  <c r="H1100" i="22" s="1"/>
  <c r="F971" i="21"/>
  <c r="F972" i="21" s="1"/>
  <c r="H897" i="23"/>
  <c r="C18" i="24"/>
  <c r="C19" i="24" s="1"/>
  <c r="C11" i="24" s="1"/>
  <c r="C10" i="24" s="1"/>
  <c r="G970" i="21"/>
  <c r="E52" i="20" s="1"/>
  <c r="G1129" i="22"/>
  <c r="G1100" i="22"/>
  <c r="D55" i="20"/>
  <c r="D58" i="20"/>
  <c r="H1102" i="22" l="1"/>
  <c r="H1103" i="22" s="1"/>
  <c r="H1128" i="22" s="1"/>
  <c r="L1128" i="22"/>
  <c r="E55" i="20"/>
  <c r="C13" i="24"/>
  <c r="C14" i="24" s="1"/>
  <c r="D18" i="24"/>
  <c r="D19" i="24" s="1"/>
  <c r="D11" i="24" s="1"/>
  <c r="H1096" i="22"/>
  <c r="L1095" i="22" s="1"/>
  <c r="G971" i="21"/>
  <c r="G972" i="21" s="1"/>
  <c r="E56" i="20"/>
  <c r="E58" i="20" s="1"/>
  <c r="G1186" i="4"/>
  <c r="I1186" i="4" s="1"/>
  <c r="G1185" i="4"/>
  <c r="I1185" i="4" s="1"/>
  <c r="H1127" i="22" l="1"/>
  <c r="C12" i="24"/>
  <c r="D12" i="24" s="1"/>
  <c r="D13" i="24"/>
  <c r="D14" i="24" s="1"/>
  <c r="M1128" i="22"/>
  <c r="D10" i="24"/>
  <c r="AL1260" i="4"/>
  <c r="T1254" i="4"/>
  <c r="G211" i="4"/>
  <c r="G210" i="4" l="1"/>
  <c r="I210" i="4" s="1"/>
  <c r="I211" i="4"/>
  <c r="H1130" i="22"/>
  <c r="L1130" i="22" s="1"/>
  <c r="H1129" i="22"/>
  <c r="C9" i="24"/>
  <c r="D9" i="24"/>
  <c r="G212" i="4"/>
  <c r="F288" i="3"/>
  <c r="H288" i="3" s="1"/>
  <c r="G944" i="5"/>
  <c r="I944" i="5" s="1"/>
  <c r="G1260" i="4"/>
  <c r="G960" i="5"/>
  <c r="I960" i="5" s="1"/>
  <c r="G209" i="4" l="1"/>
  <c r="I209" i="4" s="1"/>
  <c r="I212" i="4"/>
  <c r="G959" i="5"/>
  <c r="G958" i="5" l="1"/>
  <c r="I959" i="5"/>
  <c r="G1154" i="4"/>
  <c r="G1153" i="4" l="1"/>
  <c r="I1154" i="4"/>
  <c r="G957" i="5"/>
  <c r="I958" i="5"/>
  <c r="AK1260" i="4"/>
  <c r="G956" i="5" l="1"/>
  <c r="I957" i="5"/>
  <c r="G1152" i="4"/>
  <c r="I1152" i="4" s="1"/>
  <c r="I1153" i="4"/>
  <c r="G1146" i="4"/>
  <c r="F490" i="3" l="1"/>
  <c r="I1146" i="4"/>
  <c r="G955" i="5"/>
  <c r="I956" i="5"/>
  <c r="G776" i="5"/>
  <c r="G1145" i="4"/>
  <c r="L1259" i="4"/>
  <c r="AJ1260" i="4"/>
  <c r="G914" i="4"/>
  <c r="G1144" i="4" l="1"/>
  <c r="I1145" i="4"/>
  <c r="G509" i="5"/>
  <c r="I509" i="5" s="1"/>
  <c r="I914" i="4"/>
  <c r="G775" i="5"/>
  <c r="I776" i="5"/>
  <c r="G954" i="5"/>
  <c r="I954" i="5" s="1"/>
  <c r="I955" i="5"/>
  <c r="F489" i="3"/>
  <c r="H490" i="3"/>
  <c r="F1052" i="3"/>
  <c r="F488" i="3" l="1"/>
  <c r="H489" i="3"/>
  <c r="F1051" i="3"/>
  <c r="H1052" i="3"/>
  <c r="G774" i="5"/>
  <c r="I775" i="5"/>
  <c r="G1143" i="4"/>
  <c r="I1143" i="4" s="1"/>
  <c r="I1144" i="4"/>
  <c r="G508" i="5"/>
  <c r="G507" i="5" l="1"/>
  <c r="I507" i="5" s="1"/>
  <c r="I508" i="5"/>
  <c r="G773" i="5"/>
  <c r="I774" i="5"/>
  <c r="F1050" i="3"/>
  <c r="H1051" i="3"/>
  <c r="F487" i="3"/>
  <c r="H487" i="3" s="1"/>
  <c r="H488" i="3"/>
  <c r="G913" i="4"/>
  <c r="G772" i="5" l="1"/>
  <c r="I773" i="5"/>
  <c r="G912" i="4"/>
  <c r="I913" i="4"/>
  <c r="F1049" i="3"/>
  <c r="H1049" i="3" s="1"/>
  <c r="H1050" i="3"/>
  <c r="G41" i="4"/>
  <c r="I41" i="4" s="1"/>
  <c r="G911" i="4" l="1"/>
  <c r="I911" i="4" s="1"/>
  <c r="I912" i="4"/>
  <c r="G771" i="5"/>
  <c r="I771" i="5" s="1"/>
  <c r="I772" i="5"/>
  <c r="G1021" i="4"/>
  <c r="I1021" i="4" s="1"/>
  <c r="T1253" i="4" l="1"/>
  <c r="G1180" i="4" l="1"/>
  <c r="I1180" i="4" s="1"/>
  <c r="G1176" i="4"/>
  <c r="I1176" i="4" s="1"/>
  <c r="G341" i="4" l="1"/>
  <c r="I341" i="4" s="1"/>
  <c r="K1266" i="4" l="1"/>
  <c r="M1259" i="4"/>
  <c r="F933" i="3" l="1"/>
  <c r="F835" i="3"/>
  <c r="G438" i="4"/>
  <c r="I438" i="4" s="1"/>
  <c r="F834" i="3" l="1"/>
  <c r="H835" i="3"/>
  <c r="F932" i="3"/>
  <c r="H933" i="3"/>
  <c r="G394" i="4"/>
  <c r="G474" i="4"/>
  <c r="G473" i="4" l="1"/>
  <c r="I474" i="4"/>
  <c r="G393" i="4"/>
  <c r="I394" i="4"/>
  <c r="F931" i="3"/>
  <c r="H932" i="3"/>
  <c r="F833" i="3"/>
  <c r="H833" i="3" s="1"/>
  <c r="H834" i="3"/>
  <c r="G852" i="4"/>
  <c r="I852" i="4" s="1"/>
  <c r="F930" i="3" l="1"/>
  <c r="H930" i="3" s="1"/>
  <c r="H931" i="3"/>
  <c r="G392" i="4"/>
  <c r="I393" i="4"/>
  <c r="G472" i="4"/>
  <c r="I472" i="4" s="1"/>
  <c r="I473" i="4"/>
  <c r="G865" i="4"/>
  <c r="I865" i="4" s="1"/>
  <c r="G391" i="4" l="1"/>
  <c r="I391" i="4" s="1"/>
  <c r="I392" i="4"/>
  <c r="AI1260" i="4"/>
  <c r="G943" i="5"/>
  <c r="G208" i="4"/>
  <c r="I208" i="4" s="1"/>
  <c r="G942" i="5" l="1"/>
  <c r="I942" i="5" s="1"/>
  <c r="I943" i="5"/>
  <c r="F287" i="3"/>
  <c r="G945" i="5"/>
  <c r="I945" i="5" s="1"/>
  <c r="F286" i="3" l="1"/>
  <c r="H286" i="3" s="1"/>
  <c r="H287" i="3"/>
  <c r="F524" i="3"/>
  <c r="H524" i="3" s="1"/>
  <c r="F523" i="3" l="1"/>
  <c r="H523" i="3" s="1"/>
  <c r="G220" i="4" l="1"/>
  <c r="I220" i="4" s="1"/>
  <c r="G890" i="4" l="1"/>
  <c r="I890" i="4" s="1"/>
  <c r="G620" i="4" l="1"/>
  <c r="I620" i="4" s="1"/>
  <c r="F838" i="3" l="1"/>
  <c r="G851" i="4"/>
  <c r="I851" i="4" s="1"/>
  <c r="F837" i="3" l="1"/>
  <c r="H837" i="3" s="1"/>
  <c r="H838" i="3"/>
  <c r="G1222" i="4"/>
  <c r="I1222" i="4" s="1"/>
  <c r="AH1260" i="4" l="1"/>
  <c r="G1141" i="4" l="1"/>
  <c r="G658" i="5"/>
  <c r="F897" i="3"/>
  <c r="F896" i="3" l="1"/>
  <c r="H897" i="3"/>
  <c r="G659" i="5"/>
  <c r="I659" i="5" s="1"/>
  <c r="I658" i="5"/>
  <c r="G1140" i="4"/>
  <c r="I1141" i="4"/>
  <c r="F486" i="3"/>
  <c r="G769" i="5"/>
  <c r="I769" i="5" s="1"/>
  <c r="G657" i="5"/>
  <c r="G437" i="4"/>
  <c r="G436" i="4" l="1"/>
  <c r="I437" i="4"/>
  <c r="G656" i="5"/>
  <c r="I657" i="5"/>
  <c r="F485" i="3"/>
  <c r="H486" i="3"/>
  <c r="G1139" i="4"/>
  <c r="I1139" i="4" s="1"/>
  <c r="I1140" i="4"/>
  <c r="F895" i="3"/>
  <c r="H896" i="3"/>
  <c r="G770" i="5"/>
  <c r="I770" i="5" s="1"/>
  <c r="G768" i="5"/>
  <c r="G767" i="5" l="1"/>
  <c r="I768" i="5"/>
  <c r="F894" i="3"/>
  <c r="H894" i="3" s="1"/>
  <c r="H895" i="3"/>
  <c r="F484" i="3"/>
  <c r="H485" i="3"/>
  <c r="G655" i="5"/>
  <c r="I656" i="5"/>
  <c r="G435" i="4"/>
  <c r="I435" i="4" s="1"/>
  <c r="I436" i="4"/>
  <c r="G687" i="4"/>
  <c r="G686" i="4" l="1"/>
  <c r="I687" i="4"/>
  <c r="G654" i="5"/>
  <c r="I655" i="5"/>
  <c r="F483" i="3"/>
  <c r="H483" i="3" s="1"/>
  <c r="H484" i="3"/>
  <c r="G766" i="5"/>
  <c r="I767" i="5"/>
  <c r="AG1260" i="4"/>
  <c r="G372" i="5"/>
  <c r="G371" i="5" l="1"/>
  <c r="I371" i="5" s="1"/>
  <c r="I372" i="5"/>
  <c r="G765" i="5"/>
  <c r="I766" i="5"/>
  <c r="G653" i="5"/>
  <c r="I653" i="5" s="1"/>
  <c r="I654" i="5"/>
  <c r="G685" i="4"/>
  <c r="I686" i="4"/>
  <c r="G370" i="5"/>
  <c r="F602" i="3"/>
  <c r="G373" i="5"/>
  <c r="I373" i="5" s="1"/>
  <c r="G369" i="5" l="1"/>
  <c r="I370" i="5"/>
  <c r="G684" i="4"/>
  <c r="I684" i="4" s="1"/>
  <c r="I685" i="4"/>
  <c r="F601" i="3"/>
  <c r="H601" i="3" s="1"/>
  <c r="H602" i="3"/>
  <c r="G764" i="5"/>
  <c r="I764" i="5" s="1"/>
  <c r="I765" i="5"/>
  <c r="F600" i="3"/>
  <c r="F599" i="3" l="1"/>
  <c r="H599" i="3" s="1"/>
  <c r="H600" i="3"/>
  <c r="G368" i="5"/>
  <c r="I369" i="5"/>
  <c r="G940" i="5"/>
  <c r="I940" i="5" s="1"/>
  <c r="F285" i="3"/>
  <c r="G207" i="4"/>
  <c r="F284" i="3" l="1"/>
  <c r="H285" i="3"/>
  <c r="G206" i="4"/>
  <c r="I206" i="4" s="1"/>
  <c r="I207" i="4"/>
  <c r="G367" i="5"/>
  <c r="I367" i="5" s="1"/>
  <c r="I368" i="5"/>
  <c r="G205" i="4"/>
  <c r="AF1260" i="4"/>
  <c r="AE1260" i="4"/>
  <c r="G682" i="4"/>
  <c r="F685" i="3"/>
  <c r="G204" i="4" l="1"/>
  <c r="I204" i="4" s="1"/>
  <c r="I205" i="4"/>
  <c r="G681" i="4"/>
  <c r="I682" i="4"/>
  <c r="F684" i="3"/>
  <c r="H685" i="3"/>
  <c r="F283" i="3"/>
  <c r="H284" i="3"/>
  <c r="G360" i="5"/>
  <c r="F598" i="3"/>
  <c r="G365" i="5"/>
  <c r="G769" i="4"/>
  <c r="G364" i="5" l="1"/>
  <c r="I365" i="5"/>
  <c r="F282" i="3"/>
  <c r="H283" i="3"/>
  <c r="G768" i="4"/>
  <c r="I769" i="4"/>
  <c r="F597" i="3"/>
  <c r="H598" i="3"/>
  <c r="G359" i="5"/>
  <c r="I360" i="5"/>
  <c r="F683" i="3"/>
  <c r="H684" i="3"/>
  <c r="G680" i="4"/>
  <c r="I680" i="4" s="1"/>
  <c r="I681" i="4"/>
  <c r="G361" i="5"/>
  <c r="I361" i="5" s="1"/>
  <c r="G366" i="5"/>
  <c r="I366" i="5" s="1"/>
  <c r="F682" i="3" l="1"/>
  <c r="H682" i="3" s="1"/>
  <c r="H683" i="3"/>
  <c r="G358" i="5"/>
  <c r="I359" i="5"/>
  <c r="F596" i="3"/>
  <c r="H597" i="3"/>
  <c r="G767" i="4"/>
  <c r="I767" i="4" s="1"/>
  <c r="I768" i="4"/>
  <c r="F281" i="3"/>
  <c r="H281" i="3" s="1"/>
  <c r="H282" i="3"/>
  <c r="G363" i="5"/>
  <c r="I364" i="5"/>
  <c r="G939" i="5"/>
  <c r="G938" i="5" l="1"/>
  <c r="I938" i="5" s="1"/>
  <c r="I939" i="5"/>
  <c r="G362" i="5"/>
  <c r="I362" i="5" s="1"/>
  <c r="I363" i="5"/>
  <c r="F595" i="3"/>
  <c r="H595" i="3" s="1"/>
  <c r="H596" i="3"/>
  <c r="G357" i="5"/>
  <c r="I358" i="5"/>
  <c r="G937" i="5"/>
  <c r="G941" i="5"/>
  <c r="I941" i="5" s="1"/>
  <c r="G936" i="5" l="1"/>
  <c r="I937" i="5"/>
  <c r="I357" i="5"/>
  <c r="G356" i="5"/>
  <c r="G1125" i="4"/>
  <c r="I1125" i="4" s="1"/>
  <c r="G292" i="4"/>
  <c r="I292" i="4" s="1"/>
  <c r="G197" i="4"/>
  <c r="I197" i="4" s="1"/>
  <c r="G355" i="5" l="1"/>
  <c r="I355" i="5" s="1"/>
  <c r="I356" i="5"/>
  <c r="G935" i="5"/>
  <c r="I935" i="5" s="1"/>
  <c r="I936" i="5"/>
  <c r="G1151" i="4"/>
  <c r="G1150" i="4" l="1"/>
  <c r="I1151" i="4"/>
  <c r="AD1259" i="4"/>
  <c r="AC1259" i="4"/>
  <c r="AB1260" i="4"/>
  <c r="Z1259" i="4"/>
  <c r="G1149" i="4" l="1"/>
  <c r="I1150" i="4"/>
  <c r="AC1260" i="4"/>
  <c r="AD1260" i="4"/>
  <c r="K1268" i="4"/>
  <c r="G270" i="4"/>
  <c r="I270" i="4" s="1"/>
  <c r="AA1265" i="4"/>
  <c r="Z1265" i="4"/>
  <c r="Y1265" i="4"/>
  <c r="X1265" i="4"/>
  <c r="W1265" i="4"/>
  <c r="V1265" i="4"/>
  <c r="AA1260" i="4"/>
  <c r="Z1260" i="4"/>
  <c r="Y1260" i="4"/>
  <c r="X1260" i="4"/>
  <c r="W1260" i="4"/>
  <c r="R1260" i="4"/>
  <c r="Q1260" i="4"/>
  <c r="P1260" i="4"/>
  <c r="O1260" i="4"/>
  <c r="N1260" i="4"/>
  <c r="M1260" i="4"/>
  <c r="L1260" i="4"/>
  <c r="K1260" i="4"/>
  <c r="P1252" i="4"/>
  <c r="L1252" i="4"/>
  <c r="K1252" i="4"/>
  <c r="S1250" i="4"/>
  <c r="Q1250" i="4"/>
  <c r="P1250" i="4"/>
  <c r="O1250" i="4"/>
  <c r="N1250" i="4"/>
  <c r="M1250" i="4"/>
  <c r="L1250" i="4"/>
  <c r="R1250" i="4"/>
  <c r="T1248" i="4"/>
  <c r="K1248" i="4"/>
  <c r="K1250" i="4" s="1"/>
  <c r="T1250" i="4" l="1"/>
  <c r="H1249" i="4"/>
  <c r="H1248" i="4" s="1"/>
  <c r="G1148" i="4"/>
  <c r="I1149" i="4"/>
  <c r="U1250" i="4"/>
  <c r="G111" i="5"/>
  <c r="I111" i="5" s="1"/>
  <c r="F210" i="3"/>
  <c r="G269" i="4"/>
  <c r="G268" i="4" l="1"/>
  <c r="I268" i="4" s="1"/>
  <c r="I269" i="4"/>
  <c r="F209" i="3"/>
  <c r="H210" i="3"/>
  <c r="G1147" i="4"/>
  <c r="I1147" i="4" s="1"/>
  <c r="I1299" i="4" s="1"/>
  <c r="I1148" i="4"/>
  <c r="G112" i="5"/>
  <c r="I112" i="5" s="1"/>
  <c r="G110" i="5"/>
  <c r="G353" i="5"/>
  <c r="F681" i="3"/>
  <c r="G352" i="5" l="1"/>
  <c r="I353" i="5"/>
  <c r="F680" i="3"/>
  <c r="H681" i="3"/>
  <c r="G109" i="5"/>
  <c r="I109" i="5" s="1"/>
  <c r="I110" i="5"/>
  <c r="F208" i="3"/>
  <c r="H208" i="3" s="1"/>
  <c r="H209" i="3"/>
  <c r="F679" i="3" l="1"/>
  <c r="H680" i="3"/>
  <c r="G351" i="5"/>
  <c r="I352" i="5"/>
  <c r="G765" i="4"/>
  <c r="G764" i="4" l="1"/>
  <c r="I765" i="4"/>
  <c r="I351" i="5"/>
  <c r="G350" i="5"/>
  <c r="F678" i="3"/>
  <c r="H678" i="3" s="1"/>
  <c r="H679" i="3"/>
  <c r="V1259" i="4"/>
  <c r="G349" i="5" l="1"/>
  <c r="I350" i="5"/>
  <c r="G763" i="4"/>
  <c r="I763" i="4" s="1"/>
  <c r="I764" i="4"/>
  <c r="AN1259" i="4"/>
  <c r="AP1259" i="4" s="1"/>
  <c r="V1260" i="4"/>
  <c r="G348" i="5" l="1"/>
  <c r="I349" i="5"/>
  <c r="G362" i="4"/>
  <c r="I362" i="4" s="1"/>
  <c r="G354" i="5" l="1"/>
  <c r="I354" i="5" s="1"/>
  <c r="I348" i="5"/>
  <c r="F368" i="3"/>
  <c r="G910" i="4"/>
  <c r="I910" i="4" s="1"/>
  <c r="G676" i="4"/>
  <c r="I676" i="4" s="1"/>
  <c r="G746" i="4"/>
  <c r="I746" i="4" s="1"/>
  <c r="G96" i="4"/>
  <c r="I96" i="4" s="1"/>
  <c r="G94" i="4"/>
  <c r="I94" i="4" s="1"/>
  <c r="G645" i="4"/>
  <c r="I645" i="4" s="1"/>
  <c r="G810" i="4"/>
  <c r="I810" i="4" s="1"/>
  <c r="G692" i="4"/>
  <c r="I692" i="4" s="1"/>
  <c r="G611" i="4"/>
  <c r="I611" i="4" s="1"/>
  <c r="G119" i="5"/>
  <c r="F979" i="3"/>
  <c r="G514" i="4"/>
  <c r="I514" i="4" s="1"/>
  <c r="G521" i="4"/>
  <c r="I521" i="4" s="1"/>
  <c r="G107" i="4"/>
  <c r="I107" i="4" s="1"/>
  <c r="G188" i="4"/>
  <c r="I188" i="4" s="1"/>
  <c r="G101" i="4"/>
  <c r="I101" i="4" s="1"/>
  <c r="F978" i="3" l="1"/>
  <c r="H978" i="3" s="1"/>
  <c r="H979" i="3"/>
  <c r="G120" i="5"/>
  <c r="I120" i="5" s="1"/>
  <c r="I119" i="5"/>
  <c r="F367" i="3"/>
  <c r="H368" i="3"/>
  <c r="G1023" i="4"/>
  <c r="G118" i="5"/>
  <c r="I118" i="5" s="1"/>
  <c r="G1022" i="4" l="1"/>
  <c r="I1022" i="4" s="1"/>
  <c r="I1023" i="4"/>
  <c r="F366" i="3"/>
  <c r="H366" i="3" s="1"/>
  <c r="H367" i="3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428" i="5" l="1"/>
  <c r="G427" i="5" l="1"/>
  <c r="I428" i="5"/>
  <c r="G429" i="5"/>
  <c r="I429" i="5" s="1"/>
  <c r="G426" i="5" l="1"/>
  <c r="I426" i="5" s="1"/>
  <c r="I427" i="5"/>
  <c r="F520" i="3"/>
  <c r="G1175" i="4"/>
  <c r="I1175" i="4" s="1"/>
  <c r="F519" i="3" l="1"/>
  <c r="H519" i="3" s="1"/>
  <c r="H520" i="3"/>
  <c r="G91" i="4"/>
  <c r="I91" i="4" s="1"/>
  <c r="G89" i="4"/>
  <c r="I89" i="4" s="1"/>
  <c r="G232" i="4"/>
  <c r="I232" i="4" s="1"/>
  <c r="G230" i="4"/>
  <c r="I230" i="4" s="1"/>
  <c r="G258" i="4"/>
  <c r="I258" i="4" s="1"/>
  <c r="G256" i="4"/>
  <c r="I256" i="4" s="1"/>
  <c r="G918" i="4"/>
  <c r="I918" i="4" s="1"/>
  <c r="G550" i="4" l="1"/>
  <c r="I550" i="4" s="1"/>
  <c r="G19" i="17" l="1"/>
  <c r="G18" i="17" s="1"/>
  <c r="G17" i="17" s="1"/>
  <c r="G16" i="17" s="1"/>
  <c r="G15" i="17" s="1"/>
  <c r="G20" i="17" s="1"/>
  <c r="G14" i="6"/>
  <c r="G13" i="6" l="1"/>
  <c r="I14" i="6"/>
  <c r="H672" i="15"/>
  <c r="G672" i="15"/>
  <c r="G12" i="6" l="1"/>
  <c r="I13" i="6"/>
  <c r="G758" i="4"/>
  <c r="I758" i="4" s="1"/>
  <c r="G680" i="15"/>
  <c r="H680" i="15"/>
  <c r="G11" i="6" l="1"/>
  <c r="I12" i="6"/>
  <c r="G713" i="14"/>
  <c r="F713" i="14"/>
  <c r="G598" i="14"/>
  <c r="F598" i="14"/>
  <c r="F594" i="14"/>
  <c r="G590" i="14"/>
  <c r="F590" i="14"/>
  <c r="G10" i="6" l="1"/>
  <c r="I11" i="6"/>
  <c r="F715" i="3"/>
  <c r="G171" i="5"/>
  <c r="G799" i="4"/>
  <c r="G798" i="4" l="1"/>
  <c r="I799" i="4"/>
  <c r="G170" i="5"/>
  <c r="I171" i="5"/>
  <c r="F714" i="3"/>
  <c r="H715" i="3"/>
  <c r="G15" i="6"/>
  <c r="I15" i="6" s="1"/>
  <c r="I10" i="6"/>
  <c r="G591" i="15"/>
  <c r="G284" i="15"/>
  <c r="H197" i="15"/>
  <c r="G197" i="15"/>
  <c r="G392" i="15"/>
  <c r="F713" i="3" l="1"/>
  <c r="H713" i="3" s="1"/>
  <c r="H714" i="3"/>
  <c r="G169" i="5"/>
  <c r="I170" i="5"/>
  <c r="S1260" i="4"/>
  <c r="S1258" i="4" s="1"/>
  <c r="I798" i="4"/>
  <c r="G48" i="15"/>
  <c r="G754" i="4"/>
  <c r="I754" i="4" s="1"/>
  <c r="F594" i="3"/>
  <c r="H594" i="3" s="1"/>
  <c r="G672" i="4"/>
  <c r="I672" i="4" s="1"/>
  <c r="G750" i="4"/>
  <c r="I750" i="4" s="1"/>
  <c r="G434" i="4"/>
  <c r="I434" i="4" s="1"/>
  <c r="G172" i="5" l="1"/>
  <c r="I172" i="5" s="1"/>
  <c r="I169" i="5"/>
  <c r="F677" i="3"/>
  <c r="H677" i="3" s="1"/>
  <c r="F27" i="3"/>
  <c r="F161" i="3"/>
  <c r="H161" i="3" s="1"/>
  <c r="F26" i="3" l="1"/>
  <c r="H27" i="3"/>
  <c r="H869" i="15"/>
  <c r="F25" i="3" l="1"/>
  <c r="H26" i="3"/>
  <c r="F24" i="3" l="1"/>
  <c r="H24" i="3" s="1"/>
  <c r="H25" i="3"/>
  <c r="G373" i="15"/>
  <c r="G310" i="15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448" i="3" l="1"/>
  <c r="H448" i="3" s="1"/>
  <c r="F868" i="3"/>
  <c r="F752" i="3"/>
  <c r="G554" i="5"/>
  <c r="G538" i="5"/>
  <c r="G333" i="4"/>
  <c r="G408" i="4"/>
  <c r="G332" i="4" l="1"/>
  <c r="I332" i="4" s="1"/>
  <c r="I333" i="4"/>
  <c r="G553" i="5"/>
  <c r="I554" i="5"/>
  <c r="F867" i="3"/>
  <c r="H868" i="3"/>
  <c r="G407" i="4"/>
  <c r="I408" i="4"/>
  <c r="G537" i="5"/>
  <c r="I538" i="5"/>
  <c r="F751" i="3"/>
  <c r="H752" i="3"/>
  <c r="T1260" i="4"/>
  <c r="G212" i="15"/>
  <c r="G83" i="15"/>
  <c r="F750" i="3" l="1"/>
  <c r="H750" i="3" s="1"/>
  <c r="H751" i="3"/>
  <c r="G536" i="5"/>
  <c r="I537" i="5"/>
  <c r="U1260" i="4"/>
  <c r="U1258" i="4" s="1"/>
  <c r="I407" i="4"/>
  <c r="F866" i="3"/>
  <c r="H866" i="3" s="1"/>
  <c r="H867" i="3"/>
  <c r="G552" i="5"/>
  <c r="I553" i="5"/>
  <c r="T1258" i="4"/>
  <c r="H1269" i="4" s="1"/>
  <c r="H342" i="16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H1268" i="4" l="1"/>
  <c r="H1281" i="4" s="1"/>
  <c r="H1282" i="4"/>
  <c r="G555" i="5"/>
  <c r="I555" i="5" s="1"/>
  <c r="I552" i="5"/>
  <c r="G539" i="5"/>
  <c r="I539" i="5" s="1"/>
  <c r="I536" i="5"/>
  <c r="AN1260" i="4"/>
  <c r="AN1258" i="4"/>
  <c r="H341" i="16"/>
  <c r="H340" i="16" s="1"/>
  <c r="H339" i="16" s="1"/>
  <c r="H338" i="16" s="1"/>
  <c r="H337" i="16" s="1"/>
  <c r="G343" i="16"/>
  <c r="F693" i="3" l="1"/>
  <c r="G393" i="5"/>
  <c r="G777" i="4"/>
  <c r="G776" i="4" l="1"/>
  <c r="I776" i="4" s="1"/>
  <c r="I777" i="4"/>
  <c r="G392" i="5"/>
  <c r="I393" i="5"/>
  <c r="F692" i="3"/>
  <c r="H693" i="3"/>
  <c r="G775" i="4"/>
  <c r="I775" i="4" s="1"/>
  <c r="G391" i="5" l="1"/>
  <c r="I392" i="5"/>
  <c r="F691" i="3"/>
  <c r="H692" i="3"/>
  <c r="G1093" i="4"/>
  <c r="I1093" i="4" s="1"/>
  <c r="I1303" i="4" s="1"/>
  <c r="G1060" i="4"/>
  <c r="I1060" i="4" s="1"/>
  <c r="F690" i="3" l="1"/>
  <c r="H690" i="3" s="1"/>
  <c r="H691" i="3"/>
  <c r="G390" i="5"/>
  <c r="I391" i="5"/>
  <c r="G25" i="16"/>
  <c r="G389" i="5" l="1"/>
  <c r="I390" i="5"/>
  <c r="H26" i="17"/>
  <c r="G26" i="17"/>
  <c r="G32" i="17"/>
  <c r="G388" i="5" l="1"/>
  <c r="I389" i="5"/>
  <c r="G403" i="14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960" i="3"/>
  <c r="F780" i="3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91" i="5"/>
  <c r="G697" i="5"/>
  <c r="G501" i="4"/>
  <c r="G499" i="4"/>
  <c r="I499" i="4" s="1"/>
  <c r="G361" i="4"/>
  <c r="G359" i="4"/>
  <c r="I359" i="4" s="1"/>
  <c r="H962" i="15"/>
  <c r="H961" i="15" s="1"/>
  <c r="H960" i="15" s="1"/>
  <c r="G962" i="15"/>
  <c r="G961" i="15" s="1"/>
  <c r="G960" i="15" s="1"/>
  <c r="G360" i="4" l="1"/>
  <c r="I361" i="4"/>
  <c r="G500" i="4"/>
  <c r="I501" i="4"/>
  <c r="G692" i="5"/>
  <c r="I692" i="5" s="1"/>
  <c r="I691" i="5"/>
  <c r="F777" i="3"/>
  <c r="H777" i="3" s="1"/>
  <c r="H780" i="3"/>
  <c r="G696" i="5"/>
  <c r="I697" i="5"/>
  <c r="F959" i="3"/>
  <c r="H960" i="3"/>
  <c r="G394" i="5"/>
  <c r="I394" i="5" s="1"/>
  <c r="I388" i="5"/>
  <c r="H604" i="16"/>
  <c r="H622" i="16"/>
  <c r="H626" i="16"/>
  <c r="G604" i="16"/>
  <c r="F677" i="14"/>
  <c r="F825" i="14"/>
  <c r="G677" i="14"/>
  <c r="G178" i="14"/>
  <c r="F178" i="14"/>
  <c r="F957" i="3"/>
  <c r="H957" i="3" s="1"/>
  <c r="F779" i="3"/>
  <c r="G624" i="16"/>
  <c r="G623" i="16" s="1"/>
  <c r="G622" i="16" s="1"/>
  <c r="G635" i="16"/>
  <c r="G634" i="16" s="1"/>
  <c r="H635" i="16"/>
  <c r="H634" i="16" s="1"/>
  <c r="F778" i="3" l="1"/>
  <c r="H779" i="3"/>
  <c r="F958" i="3"/>
  <c r="H959" i="3"/>
  <c r="G695" i="5"/>
  <c r="I696" i="5"/>
  <c r="G498" i="4"/>
  <c r="I498" i="4" s="1"/>
  <c r="I500" i="4"/>
  <c r="G358" i="4"/>
  <c r="I358" i="4" s="1"/>
  <c r="I360" i="4"/>
  <c r="G633" i="16"/>
  <c r="G637" i="16"/>
  <c r="H633" i="16"/>
  <c r="H637" i="16"/>
  <c r="G698" i="5" l="1"/>
  <c r="I698" i="5" s="1"/>
  <c r="I695" i="5"/>
  <c r="F956" i="3"/>
  <c r="H956" i="3" s="1"/>
  <c r="H958" i="3"/>
  <c r="F776" i="3"/>
  <c r="H776" i="3" s="1"/>
  <c r="H778" i="3"/>
  <c r="G346" i="5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G345" i="5" l="1"/>
  <c r="I346" i="5"/>
  <c r="D44" i="13"/>
  <c r="E44" i="13"/>
  <c r="F597" i="14"/>
  <c r="F596" i="14" s="1"/>
  <c r="F600" i="14"/>
  <c r="F599" i="14" s="1"/>
  <c r="G600" i="14"/>
  <c r="G599" i="14" s="1"/>
  <c r="G344" i="5" l="1"/>
  <c r="I345" i="5"/>
  <c r="F595" i="14"/>
  <c r="F885" i="3"/>
  <c r="H885" i="3" s="1"/>
  <c r="F673" i="3"/>
  <c r="H673" i="3" s="1"/>
  <c r="F447" i="3"/>
  <c r="F676" i="3"/>
  <c r="F675" i="3" l="1"/>
  <c r="H676" i="3"/>
  <c r="F446" i="3"/>
  <c r="H447" i="3"/>
  <c r="G343" i="5"/>
  <c r="I344" i="5"/>
  <c r="G347" i="5"/>
  <c r="I347" i="5" s="1"/>
  <c r="G210" i="15"/>
  <c r="H667" i="15"/>
  <c r="H666" i="15" s="1"/>
  <c r="G667" i="15"/>
  <c r="G666" i="15" s="1"/>
  <c r="G664" i="15"/>
  <c r="G663" i="15" s="1"/>
  <c r="G761" i="4"/>
  <c r="G760" i="4" l="1"/>
  <c r="I761" i="4"/>
  <c r="I343" i="5"/>
  <c r="G342" i="5"/>
  <c r="F445" i="3"/>
  <c r="H446" i="3"/>
  <c r="F674" i="3"/>
  <c r="H674" i="3" s="1"/>
  <c r="H675" i="3"/>
  <c r="G662" i="15"/>
  <c r="G1103" i="4"/>
  <c r="G711" i="5"/>
  <c r="G710" i="5" l="1"/>
  <c r="I711" i="5"/>
  <c r="G1102" i="4"/>
  <c r="I1103" i="4"/>
  <c r="G341" i="5"/>
  <c r="I341" i="5" s="1"/>
  <c r="I342" i="5"/>
  <c r="H445" i="3"/>
  <c r="G759" i="4"/>
  <c r="I759" i="4" s="1"/>
  <c r="I760" i="4"/>
  <c r="G1101" i="4" l="1"/>
  <c r="I1102" i="4"/>
  <c r="G709" i="5"/>
  <c r="I710" i="5"/>
  <c r="G369" i="16"/>
  <c r="G368" i="16" s="1"/>
  <c r="G367" i="16" s="1"/>
  <c r="G366" i="16" s="1"/>
  <c r="G416" i="5"/>
  <c r="G415" i="5" l="1"/>
  <c r="I415" i="5" s="1"/>
  <c r="I416" i="5"/>
  <c r="I709" i="5"/>
  <c r="G708" i="5"/>
  <c r="G712" i="5"/>
  <c r="I712" i="5" s="1"/>
  <c r="I1101" i="4"/>
  <c r="G370" i="16"/>
  <c r="G414" i="5"/>
  <c r="I414" i="5" s="1"/>
  <c r="G707" i="5" l="1"/>
  <c r="I707" i="5" s="1"/>
  <c r="I708" i="5"/>
  <c r="G417" i="5"/>
  <c r="I417" i="5" s="1"/>
  <c r="G413" i="5"/>
  <c r="I413" i="5" s="1"/>
  <c r="H180" i="16" l="1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95" i="5"/>
  <c r="G194" i="5" l="1"/>
  <c r="I195" i="5"/>
  <c r="F28" i="14"/>
  <c r="F27" i="14" s="1"/>
  <c r="F26" i="14" s="1"/>
  <c r="F25" i="14"/>
  <c r="G551" i="14"/>
  <c r="G550" i="14" s="1"/>
  <c r="G549" i="14" s="1"/>
  <c r="F551" i="14"/>
  <c r="F550" i="14" s="1"/>
  <c r="F549" i="14" s="1"/>
  <c r="G193" i="5" l="1"/>
  <c r="I194" i="5"/>
  <c r="F672" i="3"/>
  <c r="F622" i="3"/>
  <c r="F160" i="3"/>
  <c r="H617" i="15"/>
  <c r="H616" i="15" s="1"/>
  <c r="G617" i="15"/>
  <c r="G616" i="15" s="1"/>
  <c r="F621" i="3" l="1"/>
  <c r="H622" i="3"/>
  <c r="F159" i="3"/>
  <c r="H160" i="3"/>
  <c r="F671" i="3"/>
  <c r="H672" i="3"/>
  <c r="G196" i="5"/>
  <c r="I196" i="5" s="1"/>
  <c r="I193" i="5"/>
  <c r="G671" i="15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F670" i="3" l="1"/>
  <c r="H670" i="3" s="1"/>
  <c r="H671" i="3"/>
  <c r="F158" i="3"/>
  <c r="H159" i="3"/>
  <c r="F620" i="3"/>
  <c r="H620" i="3" s="1"/>
  <c r="H621" i="3"/>
  <c r="G439" i="15"/>
  <c r="G132" i="16" s="1"/>
  <c r="F157" i="3" l="1"/>
  <c r="H158" i="3"/>
  <c r="G31" i="4"/>
  <c r="G50" i="15"/>
  <c r="G49" i="15" s="1"/>
  <c r="H48" i="15"/>
  <c r="G47" i="15"/>
  <c r="G46" i="15" s="1"/>
  <c r="H38" i="15"/>
  <c r="G30" i="4" l="1"/>
  <c r="I31" i="4"/>
  <c r="F156" i="3"/>
  <c r="H157" i="3"/>
  <c r="H47" i="15"/>
  <c r="H46" i="15" s="1"/>
  <c r="H370" i="16"/>
  <c r="H369" i="16" s="1"/>
  <c r="H368" i="16" s="1"/>
  <c r="H367" i="16" s="1"/>
  <c r="H366" i="16" s="1"/>
  <c r="G25" i="14"/>
  <c r="G45" i="15"/>
  <c r="G44" i="15" s="1"/>
  <c r="G52" i="4"/>
  <c r="G51" i="4" l="1"/>
  <c r="I52" i="4"/>
  <c r="D14" i="2"/>
  <c r="F14" i="2" s="1"/>
  <c r="H156" i="3"/>
  <c r="G29" i="4"/>
  <c r="I30" i="4"/>
  <c r="G28" i="14"/>
  <c r="G27" i="14" s="1"/>
  <c r="G26" i="14" s="1"/>
  <c r="H50" i="15"/>
  <c r="H49" i="15" s="1"/>
  <c r="H45" i="15" s="1"/>
  <c r="H44" i="15" s="1"/>
  <c r="G28" i="4" l="1"/>
  <c r="I29" i="4"/>
  <c r="G50" i="4"/>
  <c r="I50" i="4" s="1"/>
  <c r="I51" i="4"/>
  <c r="G49" i="4"/>
  <c r="I49" i="4" s="1"/>
  <c r="G706" i="4"/>
  <c r="G705" i="4" l="1"/>
  <c r="I705" i="4" s="1"/>
  <c r="I706" i="4"/>
  <c r="G27" i="4"/>
  <c r="I27" i="4" s="1"/>
  <c r="I28" i="4"/>
  <c r="G339" i="5"/>
  <c r="G757" i="4"/>
  <c r="G756" i="4" l="1"/>
  <c r="I757" i="4"/>
  <c r="G338" i="5"/>
  <c r="I339" i="5"/>
  <c r="G462" i="16"/>
  <c r="G461" i="16" s="1"/>
  <c r="G460" i="16" s="1"/>
  <c r="G459" i="16" s="1"/>
  <c r="G458" i="16" s="1"/>
  <c r="G457" i="16" s="1"/>
  <c r="G463" i="16" s="1"/>
  <c r="F33" i="14"/>
  <c r="F35" i="14"/>
  <c r="F33" i="3"/>
  <c r="F35" i="3"/>
  <c r="F34" i="3" l="1"/>
  <c r="H34" i="3" s="1"/>
  <c r="H35" i="3"/>
  <c r="F32" i="3"/>
  <c r="H32" i="3" s="1"/>
  <c r="H33" i="3"/>
  <c r="G337" i="5"/>
  <c r="I338" i="5"/>
  <c r="G755" i="4"/>
  <c r="I755" i="4" s="1"/>
  <c r="I756" i="4"/>
  <c r="F32" i="14"/>
  <c r="F31" i="3"/>
  <c r="H31" i="3" s="1"/>
  <c r="H1072" i="15"/>
  <c r="H1074" i="15"/>
  <c r="G1073" i="15"/>
  <c r="G1071" i="15"/>
  <c r="G336" i="5" l="1"/>
  <c r="I337" i="5"/>
  <c r="G36" i="14"/>
  <c r="G35" i="14" s="1"/>
  <c r="G34" i="14"/>
  <c r="G33" i="14" s="1"/>
  <c r="H1073" i="15"/>
  <c r="H1071" i="15"/>
  <c r="G1070" i="15"/>
  <c r="G335" i="5" l="1"/>
  <c r="I336" i="5"/>
  <c r="G32" i="14"/>
  <c r="H1070" i="15"/>
  <c r="G1221" i="4"/>
  <c r="I1221" i="4" s="1"/>
  <c r="G1219" i="4"/>
  <c r="I1219" i="4" s="1"/>
  <c r="G334" i="5" l="1"/>
  <c r="I335" i="5"/>
  <c r="G1218" i="4"/>
  <c r="I1218" i="4" s="1"/>
  <c r="I334" i="5" l="1"/>
  <c r="G340" i="5"/>
  <c r="I340" i="5" s="1"/>
  <c r="G1178" i="4"/>
  <c r="G1177" i="4" l="1"/>
  <c r="I1177" i="4" s="1"/>
  <c r="I1178" i="4"/>
  <c r="H767" i="16"/>
  <c r="H768" i="16" s="1"/>
  <c r="H138" i="16"/>
  <c r="H132" i="16"/>
  <c r="G186" i="14"/>
  <c r="F15" i="14"/>
  <c r="F17" i="14"/>
  <c r="P1096" i="15"/>
  <c r="G784" i="14"/>
  <c r="F784" i="14"/>
  <c r="F14" i="3"/>
  <c r="H14" i="3" s="1"/>
  <c r="F16" i="3"/>
  <c r="H16" i="3" s="1"/>
  <c r="H766" i="16" l="1"/>
  <c r="H254" i="15"/>
  <c r="H253" i="15" s="1"/>
  <c r="H40" i="15" l="1"/>
  <c r="G43" i="15"/>
  <c r="G42" i="15" s="1"/>
  <c r="H42" i="15" s="1"/>
  <c r="G39" i="15"/>
  <c r="G37" i="15"/>
  <c r="G39" i="4"/>
  <c r="I39" i="4" s="1"/>
  <c r="G45" i="4"/>
  <c r="I45" i="4" s="1"/>
  <c r="G36" i="15" l="1"/>
  <c r="H39" i="15"/>
  <c r="G17" i="14"/>
  <c r="H43" i="15"/>
  <c r="G20" i="14" s="1"/>
  <c r="F20" i="14"/>
  <c r="G44" i="4"/>
  <c r="F19" i="3"/>
  <c r="H19" i="3" s="1"/>
  <c r="H37" i="15"/>
  <c r="G15" i="14"/>
  <c r="G41" i="15"/>
  <c r="H41" i="15" s="1"/>
  <c r="G38" i="4"/>
  <c r="I38" i="4" s="1"/>
  <c r="G982" i="15"/>
  <c r="G43" i="4" l="1"/>
  <c r="I43" i="4" s="1"/>
  <c r="I44" i="4"/>
  <c r="G37" i="4"/>
  <c r="I37" i="4" s="1"/>
  <c r="H36" i="15"/>
  <c r="H35" i="15" s="1"/>
  <c r="H34" i="15" s="1"/>
  <c r="H33" i="15" s="1"/>
  <c r="G35" i="15"/>
  <c r="G34" i="15" s="1"/>
  <c r="G33" i="15" s="1"/>
  <c r="G958" i="15"/>
  <c r="G36" i="4" l="1"/>
  <c r="G35" i="4" l="1"/>
  <c r="I35" i="4" s="1"/>
  <c r="I36" i="4"/>
  <c r="G22" i="16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612" i="5"/>
  <c r="G560" i="5"/>
  <c r="G566" i="5"/>
  <c r="G672" i="5"/>
  <c r="G644" i="5"/>
  <c r="G637" i="5"/>
  <c r="G163" i="5"/>
  <c r="I163" i="5" s="1"/>
  <c r="G145" i="5"/>
  <c r="G132" i="5"/>
  <c r="I132" i="5" s="1"/>
  <c r="G129" i="5"/>
  <c r="G122" i="5"/>
  <c r="I122" i="5" s="1"/>
  <c r="G107" i="5"/>
  <c r="I107" i="5" s="1"/>
  <c r="G99" i="5"/>
  <c r="I99" i="5" s="1"/>
  <c r="G92" i="5"/>
  <c r="I92" i="5" s="1"/>
  <c r="G85" i="5"/>
  <c r="I85" i="5" s="1"/>
  <c r="G78" i="5"/>
  <c r="I78" i="5" s="1"/>
  <c r="G62" i="5"/>
  <c r="I62" i="5" s="1"/>
  <c r="G51" i="5"/>
  <c r="I51" i="5" s="1"/>
  <c r="G37" i="5"/>
  <c r="I37" i="5" s="1"/>
  <c r="G128" i="5" l="1"/>
  <c r="I128" i="5" s="1"/>
  <c r="I129" i="5"/>
  <c r="G144" i="5"/>
  <c r="I145" i="5"/>
  <c r="G638" i="5"/>
  <c r="I638" i="5" s="1"/>
  <c r="I637" i="5"/>
  <c r="G673" i="5"/>
  <c r="I673" i="5" s="1"/>
  <c r="I672" i="5"/>
  <c r="G559" i="5"/>
  <c r="I559" i="5" s="1"/>
  <c r="I560" i="5"/>
  <c r="G645" i="5"/>
  <c r="I645" i="5" s="1"/>
  <c r="I644" i="5"/>
  <c r="G565" i="5"/>
  <c r="I565" i="5" s="1"/>
  <c r="I566" i="5"/>
  <c r="G613" i="5"/>
  <c r="I613" i="5" s="1"/>
  <c r="I612" i="5"/>
  <c r="G121" i="5"/>
  <c r="I121" i="5" s="1"/>
  <c r="G123" i="5"/>
  <c r="I123" i="5" s="1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611" i="5"/>
  <c r="G567" i="5"/>
  <c r="I567" i="5" s="1"/>
  <c r="G561" i="5"/>
  <c r="I561" i="5" s="1"/>
  <c r="G671" i="5"/>
  <c r="G636" i="5"/>
  <c r="G643" i="5"/>
  <c r="G130" i="5"/>
  <c r="I130" i="5" s="1"/>
  <c r="G146" i="5"/>
  <c r="I146" i="5" s="1"/>
  <c r="G131" i="5"/>
  <c r="G15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127" i="5" l="1"/>
  <c r="I131" i="5"/>
  <c r="G635" i="5"/>
  <c r="I635" i="5" s="1"/>
  <c r="I636" i="5"/>
  <c r="G610" i="5"/>
  <c r="I611" i="5"/>
  <c r="G642" i="5"/>
  <c r="I643" i="5"/>
  <c r="G670" i="5"/>
  <c r="I671" i="5"/>
  <c r="G143" i="5"/>
  <c r="I144" i="5"/>
  <c r="G117" i="5"/>
  <c r="G133" i="5"/>
  <c r="I133" i="5" s="1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G116" i="5" l="1"/>
  <c r="I117" i="5"/>
  <c r="G142" i="5"/>
  <c r="I143" i="5"/>
  <c r="G669" i="5"/>
  <c r="I670" i="5"/>
  <c r="G641" i="5"/>
  <c r="I642" i="5"/>
  <c r="G609" i="5"/>
  <c r="I610" i="5"/>
  <c r="G126" i="5"/>
  <c r="I127" i="5"/>
  <c r="F843" i="14"/>
  <c r="F837" i="14" s="1"/>
  <c r="G125" i="5" l="1"/>
  <c r="I126" i="5"/>
  <c r="G608" i="5"/>
  <c r="I608" i="5" s="1"/>
  <c r="I609" i="5"/>
  <c r="G640" i="5"/>
  <c r="I641" i="5"/>
  <c r="G668" i="5"/>
  <c r="I669" i="5"/>
  <c r="G141" i="5"/>
  <c r="I141" i="5" s="1"/>
  <c r="I142" i="5"/>
  <c r="G115" i="5"/>
  <c r="I116" i="5"/>
  <c r="F884" i="3"/>
  <c r="F991" i="3"/>
  <c r="F987" i="3"/>
  <c r="F985" i="3"/>
  <c r="F981" i="3"/>
  <c r="F903" i="3"/>
  <c r="F980" i="3" l="1"/>
  <c r="H980" i="3" s="1"/>
  <c r="H981" i="3"/>
  <c r="F902" i="3"/>
  <c r="H902" i="3" s="1"/>
  <c r="H903" i="3"/>
  <c r="F984" i="3"/>
  <c r="H984" i="3" s="1"/>
  <c r="H985" i="3"/>
  <c r="F990" i="3"/>
  <c r="H991" i="3"/>
  <c r="F986" i="3"/>
  <c r="H986" i="3" s="1"/>
  <c r="H987" i="3"/>
  <c r="F883" i="3"/>
  <c r="H883" i="3" s="1"/>
  <c r="H884" i="3"/>
  <c r="G114" i="5"/>
  <c r="I114" i="5" s="1"/>
  <c r="I115" i="5"/>
  <c r="G667" i="5"/>
  <c r="I667" i="5" s="1"/>
  <c r="I668" i="5"/>
  <c r="G639" i="5"/>
  <c r="I639" i="5" s="1"/>
  <c r="I640" i="5"/>
  <c r="G124" i="5"/>
  <c r="I124" i="5" s="1"/>
  <c r="I125" i="5"/>
  <c r="F977" i="3"/>
  <c r="F983" i="3"/>
  <c r="F475" i="3"/>
  <c r="F976" i="3" l="1"/>
  <c r="H976" i="3" s="1"/>
  <c r="H977" i="3"/>
  <c r="F982" i="3"/>
  <c r="H982" i="3" s="1"/>
  <c r="H983" i="3"/>
  <c r="F474" i="3"/>
  <c r="H475" i="3"/>
  <c r="F989" i="3"/>
  <c r="H990" i="3"/>
  <c r="F105" i="3"/>
  <c r="F988" i="3" l="1"/>
  <c r="H989" i="3"/>
  <c r="F104" i="3"/>
  <c r="H104" i="3" s="1"/>
  <c r="H105" i="3"/>
  <c r="F473" i="3"/>
  <c r="H473" i="3" s="1"/>
  <c r="H474" i="3"/>
  <c r="F547" i="14"/>
  <c r="F546" i="14" s="1"/>
  <c r="F545" i="14" s="1"/>
  <c r="F544" i="14" s="1"/>
  <c r="G158" i="5"/>
  <c r="F484" i="14"/>
  <c r="F483" i="14" s="1"/>
  <c r="F482" i="14" s="1"/>
  <c r="F481" i="14" s="1"/>
  <c r="G153" i="5"/>
  <c r="I153" i="5" s="1"/>
  <c r="H988" i="3" l="1"/>
  <c r="F975" i="3"/>
  <c r="H975" i="3" s="1"/>
  <c r="G159" i="5"/>
  <c r="I159" i="5" s="1"/>
  <c r="I158" i="5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G109" i="4"/>
  <c r="G108" i="4" l="1"/>
  <c r="I109" i="4"/>
  <c r="G381" i="16" l="1"/>
  <c r="I108" i="4"/>
  <c r="G745" i="4"/>
  <c r="G744" i="4" l="1"/>
  <c r="I745" i="4"/>
  <c r="G380" i="16"/>
  <c r="G379" i="16" s="1"/>
  <c r="G382" i="16"/>
  <c r="G519" i="4"/>
  <c r="G445" i="4"/>
  <c r="G425" i="4"/>
  <c r="G518" i="4" l="1"/>
  <c r="I518" i="4" s="1"/>
  <c r="I519" i="4"/>
  <c r="G444" i="4"/>
  <c r="I445" i="4"/>
  <c r="G424" i="4"/>
  <c r="I424" i="4" s="1"/>
  <c r="I425" i="4"/>
  <c r="G743" i="4"/>
  <c r="I743" i="4" s="1"/>
  <c r="I744" i="4"/>
  <c r="G441" i="4"/>
  <c r="G665" i="5"/>
  <c r="I665" i="5" s="1"/>
  <c r="F901" i="3"/>
  <c r="G423" i="4"/>
  <c r="I423" i="4" s="1"/>
  <c r="F900" i="3" l="1"/>
  <c r="H901" i="3"/>
  <c r="G440" i="4"/>
  <c r="I441" i="4"/>
  <c r="G443" i="4"/>
  <c r="I443" i="4" s="1"/>
  <c r="I444" i="4"/>
  <c r="F334" i="14"/>
  <c r="F333" i="14" s="1"/>
  <c r="G893" i="15"/>
  <c r="G439" i="4" l="1"/>
  <c r="I439" i="4" s="1"/>
  <c r="I440" i="4"/>
  <c r="F899" i="3"/>
  <c r="H900" i="3"/>
  <c r="F377" i="3"/>
  <c r="H377" i="3" s="1"/>
  <c r="G1031" i="4"/>
  <c r="I1031" i="4" s="1"/>
  <c r="F898" i="3" l="1"/>
  <c r="H898" i="3" s="1"/>
  <c r="H899" i="3"/>
  <c r="G516" i="5"/>
  <c r="G515" i="5" l="1"/>
  <c r="I516" i="5"/>
  <c r="G506" i="5"/>
  <c r="F1056" i="3"/>
  <c r="G917" i="4"/>
  <c r="G916" i="4" l="1"/>
  <c r="I917" i="4"/>
  <c r="G505" i="5"/>
  <c r="I506" i="5"/>
  <c r="F1055" i="3"/>
  <c r="H1056" i="3"/>
  <c r="G514" i="5"/>
  <c r="I515" i="5"/>
  <c r="F1001" i="3"/>
  <c r="H1001" i="3" s="1"/>
  <c r="G513" i="5" l="1"/>
  <c r="I514" i="5"/>
  <c r="F1054" i="3"/>
  <c r="H1055" i="3"/>
  <c r="G504" i="5"/>
  <c r="I504" i="5" s="1"/>
  <c r="I505" i="5"/>
  <c r="G915" i="4"/>
  <c r="I915" i="4" s="1"/>
  <c r="I916" i="4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G787" i="15"/>
  <c r="G786" i="15" s="1"/>
  <c r="G752" i="15"/>
  <c r="G750" i="15"/>
  <c r="G739" i="15"/>
  <c r="G736" i="15"/>
  <c r="G253" i="16"/>
  <c r="F593" i="14"/>
  <c r="F592" i="14" s="1"/>
  <c r="F591" i="14" s="1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F1053" i="3" l="1"/>
  <c r="H1053" i="3" s="1"/>
  <c r="H1054" i="3"/>
  <c r="G512" i="5"/>
  <c r="I513" i="5"/>
  <c r="F531" i="14"/>
  <c r="F530" i="14" s="1"/>
  <c r="F529" i="14" s="1"/>
  <c r="F525" i="14" s="1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2" i="5"/>
  <c r="I22" i="5" s="1"/>
  <c r="F315" i="3"/>
  <c r="G1001" i="4"/>
  <c r="I1001" i="4" s="1"/>
  <c r="F314" i="3" l="1"/>
  <c r="H314" i="3" s="1"/>
  <c r="H315" i="3"/>
  <c r="G511" i="5"/>
  <c r="I512" i="5"/>
  <c r="G250" i="16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1" i="5"/>
  <c r="I21" i="5" s="1"/>
  <c r="G23" i="5"/>
  <c r="I23" i="5" s="1"/>
  <c r="G63" i="4"/>
  <c r="I63" i="4" s="1"/>
  <c r="I511" i="5" l="1"/>
  <c r="G517" i="5"/>
  <c r="I517" i="5" s="1"/>
  <c r="G365" i="16"/>
  <c r="G364" i="16" s="1"/>
  <c r="G356" i="16" s="1"/>
  <c r="G357" i="4"/>
  <c r="I357" i="4" s="1"/>
  <c r="F957" i="14" l="1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G71" i="14" l="1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664" i="5"/>
  <c r="G386" i="5"/>
  <c r="G332" i="5"/>
  <c r="G331" i="5" l="1"/>
  <c r="I332" i="5"/>
  <c r="G663" i="5"/>
  <c r="I663" i="5" s="1"/>
  <c r="I664" i="5"/>
  <c r="G385" i="5"/>
  <c r="I386" i="5"/>
  <c r="G597" i="15"/>
  <c r="G596" i="15" s="1"/>
  <c r="G592" i="15" s="1"/>
  <c r="F84" i="14"/>
  <c r="F83" i="14" s="1"/>
  <c r="F82" i="14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689" i="3"/>
  <c r="F593" i="3"/>
  <c r="F1000" i="3"/>
  <c r="F74" i="3"/>
  <c r="F92" i="3"/>
  <c r="G662" i="5" l="1"/>
  <c r="I662" i="5" s="1"/>
  <c r="G660" i="5"/>
  <c r="I660" i="5" s="1"/>
  <c r="F73" i="3"/>
  <c r="H74" i="3"/>
  <c r="F91" i="3"/>
  <c r="H92" i="3"/>
  <c r="F999" i="3"/>
  <c r="H999" i="3" s="1"/>
  <c r="H1000" i="3"/>
  <c r="F688" i="3"/>
  <c r="H689" i="3"/>
  <c r="G661" i="5"/>
  <c r="I661" i="5" s="1"/>
  <c r="F592" i="3"/>
  <c r="H593" i="3"/>
  <c r="G384" i="5"/>
  <c r="I385" i="5"/>
  <c r="G330" i="5"/>
  <c r="I331" i="5"/>
  <c r="G666" i="5"/>
  <c r="I666" i="5" s="1"/>
  <c r="F998" i="3"/>
  <c r="H58" i="15"/>
  <c r="G58" i="15"/>
  <c r="H505" i="15"/>
  <c r="H504" i="15" s="1"/>
  <c r="H503" i="15" s="1"/>
  <c r="G84" i="14"/>
  <c r="G83" i="14" s="1"/>
  <c r="G82" i="14" s="1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80" i="4"/>
  <c r="G773" i="4"/>
  <c r="G619" i="4"/>
  <c r="G584" i="4"/>
  <c r="G675" i="4"/>
  <c r="I675" i="4" s="1"/>
  <c r="G678" i="4"/>
  <c r="G618" i="4" l="1"/>
  <c r="I619" i="4"/>
  <c r="G79" i="4"/>
  <c r="I79" i="4" s="1"/>
  <c r="I80" i="4"/>
  <c r="F997" i="3"/>
  <c r="H998" i="3"/>
  <c r="G677" i="4"/>
  <c r="I677" i="4" s="1"/>
  <c r="I678" i="4"/>
  <c r="G583" i="4"/>
  <c r="I584" i="4"/>
  <c r="G772" i="4"/>
  <c r="I772" i="4" s="1"/>
  <c r="I773" i="4"/>
  <c r="G329" i="5"/>
  <c r="I330" i="5"/>
  <c r="I384" i="5"/>
  <c r="G383" i="5"/>
  <c r="F591" i="3"/>
  <c r="H591" i="3" s="1"/>
  <c r="H592" i="3"/>
  <c r="F687" i="3"/>
  <c r="H688" i="3"/>
  <c r="F90" i="3"/>
  <c r="H90" i="3" s="1"/>
  <c r="H91" i="3"/>
  <c r="F72" i="3"/>
  <c r="H72" i="3" s="1"/>
  <c r="H73" i="3"/>
  <c r="G771" i="4"/>
  <c r="I771" i="4" s="1"/>
  <c r="G334" i="16"/>
  <c r="G333" i="16" s="1"/>
  <c r="G332" i="16" s="1"/>
  <c r="G331" i="16" s="1"/>
  <c r="G330" i="16" s="1"/>
  <c r="G336" i="16" s="1"/>
  <c r="G674" i="4"/>
  <c r="H322" i="16"/>
  <c r="H77" i="15"/>
  <c r="G77" i="15"/>
  <c r="I792" i="15"/>
  <c r="G382" i="5" l="1"/>
  <c r="I383" i="5"/>
  <c r="G673" i="4"/>
  <c r="I673" i="4" s="1"/>
  <c r="I674" i="4"/>
  <c r="F686" i="3"/>
  <c r="H686" i="3" s="1"/>
  <c r="H687" i="3"/>
  <c r="I329" i="5"/>
  <c r="G328" i="5"/>
  <c r="G582" i="4"/>
  <c r="I582" i="4" s="1"/>
  <c r="I583" i="4"/>
  <c r="D42" i="2"/>
  <c r="F42" i="2" s="1"/>
  <c r="H997" i="3"/>
  <c r="G617" i="4"/>
  <c r="I618" i="4"/>
  <c r="G623" i="15"/>
  <c r="G622" i="15" s="1"/>
  <c r="G996" i="15"/>
  <c r="G995" i="15" s="1"/>
  <c r="F437" i="14"/>
  <c r="F436" i="14" s="1"/>
  <c r="F435" i="14" s="1"/>
  <c r="G238" i="15"/>
  <c r="F877" i="14"/>
  <c r="F876" i="14" s="1"/>
  <c r="G616" i="4" l="1"/>
  <c r="I617" i="4"/>
  <c r="I328" i="5"/>
  <c r="G333" i="5"/>
  <c r="I333" i="5" s="1"/>
  <c r="G327" i="5"/>
  <c r="I327" i="5" s="1"/>
  <c r="G381" i="5"/>
  <c r="I382" i="5"/>
  <c r="G1303" i="4"/>
  <c r="G926" i="5"/>
  <c r="I926" i="5" s="1"/>
  <c r="F1106" i="3"/>
  <c r="H1106" i="3" s="1"/>
  <c r="F1109" i="3"/>
  <c r="H1109" i="3" s="1"/>
  <c r="F1117" i="3"/>
  <c r="H1117" i="3" s="1"/>
  <c r="H474" i="15"/>
  <c r="H494" i="16" s="1"/>
  <c r="G549" i="4"/>
  <c r="G544" i="4"/>
  <c r="G537" i="4"/>
  <c r="I537" i="4" s="1"/>
  <c r="G533" i="4"/>
  <c r="I533" i="4" s="1"/>
  <c r="G548" i="4" l="1"/>
  <c r="I548" i="4" s="1"/>
  <c r="I549" i="4"/>
  <c r="G387" i="5"/>
  <c r="I387" i="5" s="1"/>
  <c r="I381" i="5"/>
  <c r="G543" i="4"/>
  <c r="I544" i="4"/>
  <c r="G615" i="4"/>
  <c r="I615" i="4" s="1"/>
  <c r="I616" i="4"/>
  <c r="H495" i="16"/>
  <c r="H493" i="16"/>
  <c r="G535" i="4"/>
  <c r="G563" i="5"/>
  <c r="I563" i="5" s="1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1104" i="3"/>
  <c r="H1104" i="3" s="1"/>
  <c r="F1102" i="3"/>
  <c r="H1102" i="3" s="1"/>
  <c r="G481" i="15"/>
  <c r="G480" i="15" s="1"/>
  <c r="G479" i="15" s="1"/>
  <c r="G486" i="15"/>
  <c r="G485" i="15" s="1"/>
  <c r="G484" i="15" s="1"/>
  <c r="G969" i="14"/>
  <c r="G968" i="14" s="1"/>
  <c r="G967" i="14" s="1"/>
  <c r="G546" i="4"/>
  <c r="I546" i="4" s="1"/>
  <c r="G547" i="4"/>
  <c r="I547" i="4" s="1"/>
  <c r="G532" i="4" l="1"/>
  <c r="I532" i="4" s="1"/>
  <c r="I535" i="4"/>
  <c r="G542" i="4"/>
  <c r="I542" i="4" s="1"/>
  <c r="I543" i="4"/>
  <c r="G531" i="4"/>
  <c r="H541" i="16"/>
  <c r="H540" i="16" s="1"/>
  <c r="H539" i="16" s="1"/>
  <c r="H538" i="16" s="1"/>
  <c r="H543" i="16"/>
  <c r="H501" i="16"/>
  <c r="H499" i="16"/>
  <c r="G562" i="5"/>
  <c r="G564" i="5"/>
  <c r="I564" i="5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G558" i="5" l="1"/>
  <c r="I558" i="5" s="1"/>
  <c r="I562" i="5"/>
  <c r="G530" i="4"/>
  <c r="I531" i="4"/>
  <c r="G557" i="5"/>
  <c r="H496" i="16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53" i="3"/>
  <c r="F155" i="3"/>
  <c r="H128" i="15"/>
  <c r="H126" i="15"/>
  <c r="G128" i="15"/>
  <c r="G126" i="15"/>
  <c r="G131" i="4"/>
  <c r="I131" i="4" s="1"/>
  <c r="G133" i="4"/>
  <c r="I133" i="4" s="1"/>
  <c r="F154" i="3" l="1"/>
  <c r="H154" i="3" s="1"/>
  <c r="H155" i="3"/>
  <c r="F152" i="3"/>
  <c r="H152" i="3" s="1"/>
  <c r="H153" i="3"/>
  <c r="G556" i="5"/>
  <c r="I556" i="5" s="1"/>
  <c r="I557" i="5"/>
  <c r="G529" i="4"/>
  <c r="I530" i="4"/>
  <c r="H469" i="15"/>
  <c r="H468" i="15" s="1"/>
  <c r="H1125" i="15" s="1"/>
  <c r="G130" i="4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F151" i="3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437" i="3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993" i="5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1092" i="4"/>
  <c r="H451" i="15"/>
  <c r="H450" i="15" s="1"/>
  <c r="G450" i="15"/>
  <c r="G1091" i="4" l="1"/>
  <c r="I1092" i="4"/>
  <c r="F436" i="3"/>
  <c r="H437" i="3"/>
  <c r="G129" i="4"/>
  <c r="I130" i="4"/>
  <c r="G992" i="5"/>
  <c r="I993" i="5"/>
  <c r="F150" i="3"/>
  <c r="H151" i="3"/>
  <c r="G528" i="4"/>
  <c r="I529" i="4"/>
  <c r="G599" i="4"/>
  <c r="I599" i="4" s="1"/>
  <c r="G1279" i="4" l="1"/>
  <c r="I528" i="4"/>
  <c r="I1279" i="4" s="1"/>
  <c r="F149" i="3"/>
  <c r="H150" i="3"/>
  <c r="G991" i="5"/>
  <c r="I992" i="5"/>
  <c r="G128" i="4"/>
  <c r="I129" i="4"/>
  <c r="F435" i="3"/>
  <c r="H436" i="3"/>
  <c r="G1090" i="4"/>
  <c r="I1091" i="4"/>
  <c r="G158" i="14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G1089" i="4" l="1"/>
  <c r="I1089" i="4" s="1"/>
  <c r="I1090" i="4"/>
  <c r="F434" i="3"/>
  <c r="H435" i="3"/>
  <c r="G127" i="4"/>
  <c r="I127" i="4" s="1"/>
  <c r="I128" i="4"/>
  <c r="G990" i="5"/>
  <c r="I991" i="5"/>
  <c r="F148" i="3"/>
  <c r="H149" i="3"/>
  <c r="D13" i="2" l="1"/>
  <c r="F13" i="2" s="1"/>
  <c r="H148" i="3"/>
  <c r="G989" i="5"/>
  <c r="I990" i="5"/>
  <c r="F433" i="3"/>
  <c r="H433" i="3" s="1"/>
  <c r="H434" i="3"/>
  <c r="F280" i="14"/>
  <c r="F279" i="14" s="1"/>
  <c r="F276" i="14" s="1"/>
  <c r="G209" i="15"/>
  <c r="G988" i="5" l="1"/>
  <c r="I989" i="5"/>
  <c r="G987" i="5" l="1"/>
  <c r="I988" i="5"/>
  <c r="E19" i="13"/>
  <c r="E18" i="13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G986" i="5" l="1"/>
  <c r="I986" i="5" s="1"/>
  <c r="I987" i="5"/>
  <c r="H716" i="16"/>
  <c r="H715" i="16" s="1"/>
  <c r="H714" i="16" s="1"/>
  <c r="H713" i="16" s="1"/>
  <c r="H712" i="16" s="1"/>
  <c r="G24" i="16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345" i="3"/>
  <c r="G862" i="4"/>
  <c r="I862" i="4" s="1"/>
  <c r="F344" i="3" l="1"/>
  <c r="H345" i="3"/>
  <c r="F308" i="14"/>
  <c r="F307" i="14" s="1"/>
  <c r="F306" i="14" s="1"/>
  <c r="F305" i="14" s="1"/>
  <c r="H291" i="15"/>
  <c r="H290" i="15" s="1"/>
  <c r="H289" i="15" s="1"/>
  <c r="G884" i="16"/>
  <c r="G100" i="5"/>
  <c r="I100" i="5" s="1"/>
  <c r="G291" i="15"/>
  <c r="G290" i="15" s="1"/>
  <c r="G289" i="15" s="1"/>
  <c r="G316" i="4"/>
  <c r="G315" i="4" l="1"/>
  <c r="I315" i="4" s="1"/>
  <c r="I316" i="4"/>
  <c r="F343" i="3"/>
  <c r="H344" i="3"/>
  <c r="D10" i="13"/>
  <c r="G9" i="15" s="1"/>
  <c r="G314" i="4"/>
  <c r="I314" i="4" s="1"/>
  <c r="G308" i="14"/>
  <c r="G307" i="14" s="1"/>
  <c r="G306" i="14" s="1"/>
  <c r="G305" i="14" s="1"/>
  <c r="G98" i="5"/>
  <c r="G97" i="5" l="1"/>
  <c r="I98" i="5"/>
  <c r="F342" i="3"/>
  <c r="H342" i="3" s="1"/>
  <c r="H343" i="3"/>
  <c r="F8" i="14"/>
  <c r="G1126" i="15"/>
  <c r="G1095" i="15"/>
  <c r="H1095" i="15"/>
  <c r="G96" i="16"/>
  <c r="G94" i="16"/>
  <c r="G93" i="16" s="1"/>
  <c r="G92" i="16" s="1"/>
  <c r="G91" i="16" s="1"/>
  <c r="G90" i="16" s="1"/>
  <c r="G96" i="5" l="1"/>
  <c r="I97" i="5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543" i="3"/>
  <c r="F542" i="3" l="1"/>
  <c r="H543" i="3"/>
  <c r="I96" i="5"/>
  <c r="G95" i="5"/>
  <c r="F50" i="14"/>
  <c r="H1126" i="15"/>
  <c r="G681" i="5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94" i="5" l="1"/>
  <c r="I94" i="5" s="1"/>
  <c r="I95" i="5"/>
  <c r="G680" i="5"/>
  <c r="I681" i="5"/>
  <c r="F541" i="3"/>
  <c r="H542" i="3"/>
  <c r="G1200" i="4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H163" i="15"/>
  <c r="H162" i="15" s="1"/>
  <c r="G163" i="15"/>
  <c r="G162" i="15" s="1"/>
  <c r="G1199" i="4" l="1"/>
  <c r="I1200" i="4"/>
  <c r="F540" i="3"/>
  <c r="H541" i="3"/>
  <c r="G679" i="5"/>
  <c r="I680" i="5"/>
  <c r="G161" i="15"/>
  <c r="G160" i="15"/>
  <c r="H160" i="15"/>
  <c r="H161" i="15"/>
  <c r="F224" i="3"/>
  <c r="F215" i="3"/>
  <c r="H215" i="3" s="1"/>
  <c r="G856" i="5"/>
  <c r="G859" i="5"/>
  <c r="G875" i="4"/>
  <c r="G858" i="5" l="1"/>
  <c r="I858" i="5" s="1"/>
  <c r="I859" i="5"/>
  <c r="G874" i="4"/>
  <c r="I875" i="4"/>
  <c r="F223" i="3"/>
  <c r="H223" i="3" s="1"/>
  <c r="H224" i="3"/>
  <c r="G678" i="5"/>
  <c r="I679" i="5"/>
  <c r="F539" i="3"/>
  <c r="H539" i="3" s="1"/>
  <c r="H540" i="3"/>
  <c r="G1198" i="4"/>
  <c r="I1199" i="4"/>
  <c r="G857" i="5"/>
  <c r="I857" i="5" s="1"/>
  <c r="I856" i="5"/>
  <c r="G762" i="15"/>
  <c r="G761" i="15" s="1"/>
  <c r="G773" i="16"/>
  <c r="G860" i="5"/>
  <c r="I860" i="5" s="1"/>
  <c r="F43" i="3"/>
  <c r="H43" i="3" s="1"/>
  <c r="G1197" i="4" l="1"/>
  <c r="I1197" i="4" s="1"/>
  <c r="I1198" i="4"/>
  <c r="G677" i="5"/>
  <c r="I678" i="5"/>
  <c r="G873" i="4"/>
  <c r="I874" i="4"/>
  <c r="H773" i="16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872" i="4" l="1"/>
  <c r="I873" i="4"/>
  <c r="G676" i="5"/>
  <c r="I676" i="5" s="1"/>
  <c r="I677" i="5"/>
  <c r="H772" i="16"/>
  <c r="I872" i="4" l="1"/>
  <c r="G871" i="4"/>
  <c r="G462" i="15"/>
  <c r="H463" i="15"/>
  <c r="G38" i="17"/>
  <c r="I871" i="4" l="1"/>
  <c r="G870" i="4"/>
  <c r="I870" i="4" s="1"/>
  <c r="G853" i="14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39" i="6"/>
  <c r="G522" i="4"/>
  <c r="I522" i="4" s="1"/>
  <c r="G38" i="6" l="1"/>
  <c r="I38" i="6" s="1"/>
  <c r="I39" i="6"/>
  <c r="H126" i="16"/>
  <c r="H124" i="16"/>
  <c r="G37" i="17"/>
  <c r="G36" i="17" s="1"/>
  <c r="G35" i="17" s="1"/>
  <c r="G34" i="17" s="1"/>
  <c r="G33" i="17" s="1"/>
  <c r="G27" i="6" l="1"/>
  <c r="G20" i="6"/>
  <c r="I20" i="6" s="1"/>
  <c r="G26" i="6" l="1"/>
  <c r="I27" i="6"/>
  <c r="F44" i="14"/>
  <c r="G44" i="14" s="1"/>
  <c r="G25" i="6" l="1"/>
  <c r="I26" i="6"/>
  <c r="D19" i="13"/>
  <c r="H1082" i="15"/>
  <c r="H1023" i="15"/>
  <c r="G994" i="15"/>
  <c r="G972" i="15"/>
  <c r="G943" i="15"/>
  <c r="G918" i="15"/>
  <c r="H918" i="15" s="1"/>
  <c r="G915" i="15"/>
  <c r="H915" i="15" s="1"/>
  <c r="G913" i="15"/>
  <c r="H913" i="15" s="1"/>
  <c r="G910" i="15"/>
  <c r="H910" i="15" s="1"/>
  <c r="G907" i="15"/>
  <c r="H907" i="15" s="1"/>
  <c r="H905" i="15"/>
  <c r="G901" i="15"/>
  <c r="H901" i="15" s="1"/>
  <c r="G898" i="15"/>
  <c r="G897" i="15" s="1"/>
  <c r="G896" i="15"/>
  <c r="H894" i="15"/>
  <c r="G280" i="14"/>
  <c r="G279" i="14" s="1"/>
  <c r="G276" i="14" s="1"/>
  <c r="G710" i="15"/>
  <c r="H710" i="15" s="1"/>
  <c r="G620" i="16"/>
  <c r="G615" i="16"/>
  <c r="G581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4" i="6" l="1"/>
  <c r="I25" i="6"/>
  <c r="G224" i="16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G568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887" i="5"/>
  <c r="I887" i="5" s="1"/>
  <c r="G732" i="5"/>
  <c r="I732" i="5" s="1"/>
  <c r="G704" i="5"/>
  <c r="I704" i="5" s="1"/>
  <c r="G23" i="6" l="1"/>
  <c r="I24" i="6"/>
  <c r="F183" i="14"/>
  <c r="H350" i="16"/>
  <c r="H351" i="16" s="1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8" i="14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733" i="5"/>
  <c r="I733" i="5" s="1"/>
  <c r="G888" i="5"/>
  <c r="I888" i="5" s="1"/>
  <c r="G886" i="5"/>
  <c r="I886" i="5" s="1"/>
  <c r="G600" i="5"/>
  <c r="I600" i="5" s="1"/>
  <c r="G581" i="5"/>
  <c r="I581" i="5" s="1"/>
  <c r="G577" i="5"/>
  <c r="I577" i="5" s="1"/>
  <c r="G530" i="5"/>
  <c r="I530" i="5" s="1"/>
  <c r="G527" i="5"/>
  <c r="I527" i="5" s="1"/>
  <c r="G524" i="5"/>
  <c r="I524" i="5" s="1"/>
  <c r="G651" i="5"/>
  <c r="I651" i="5" s="1"/>
  <c r="G224" i="5"/>
  <c r="I224" i="5" s="1"/>
  <c r="F967" i="3"/>
  <c r="H967" i="3" s="1"/>
  <c r="F1085" i="3"/>
  <c r="H1085" i="3" s="1"/>
  <c r="F1070" i="3"/>
  <c r="H1070" i="3" s="1"/>
  <c r="G22" i="6" l="1"/>
  <c r="I22" i="6" s="1"/>
  <c r="I23" i="6"/>
  <c r="H349" i="16"/>
  <c r="H348" i="16" s="1"/>
  <c r="H347" i="16" s="1"/>
  <c r="H346" i="16" s="1"/>
  <c r="H345" i="16" s="1"/>
  <c r="G518" i="16"/>
  <c r="G517" i="16" s="1"/>
  <c r="G516" i="16" s="1"/>
  <c r="H424" i="16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518" i="16" s="1"/>
  <c r="H517" i="16" s="1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885" i="5"/>
  <c r="I885" i="5" s="1"/>
  <c r="G14" i="5"/>
  <c r="F1108" i="3"/>
  <c r="H1108" i="3" s="1"/>
  <c r="G599" i="5"/>
  <c r="I599" i="5" s="1"/>
  <c r="G601" i="5"/>
  <c r="I601" i="5" s="1"/>
  <c r="G580" i="5"/>
  <c r="I580" i="5" s="1"/>
  <c r="G582" i="5"/>
  <c r="I582" i="5" s="1"/>
  <c r="G576" i="5"/>
  <c r="I576" i="5" s="1"/>
  <c r="G578" i="5"/>
  <c r="I578" i="5" s="1"/>
  <c r="G526" i="5"/>
  <c r="I526" i="5" s="1"/>
  <c r="G528" i="5"/>
  <c r="I528" i="5" s="1"/>
  <c r="G523" i="5"/>
  <c r="I523" i="5" s="1"/>
  <c r="G525" i="5"/>
  <c r="I525" i="5" s="1"/>
  <c r="G529" i="5"/>
  <c r="I529" i="5" s="1"/>
  <c r="G531" i="5"/>
  <c r="I531" i="5" s="1"/>
  <c r="G650" i="5"/>
  <c r="I650" i="5" s="1"/>
  <c r="G652" i="5"/>
  <c r="I652" i="5" s="1"/>
  <c r="G223" i="5"/>
  <c r="I223" i="5" s="1"/>
  <c r="G225" i="5"/>
  <c r="I225" i="5" s="1"/>
  <c r="G16" i="5"/>
  <c r="F1041" i="3"/>
  <c r="H1041" i="3" s="1"/>
  <c r="F1034" i="3"/>
  <c r="H1034" i="3" s="1"/>
  <c r="F1031" i="3"/>
  <c r="H1031" i="3" s="1"/>
  <c r="F1028" i="3"/>
  <c r="H1028" i="3" s="1"/>
  <c r="F1021" i="3"/>
  <c r="H1021" i="3" s="1"/>
  <c r="F1014" i="3"/>
  <c r="H1014" i="3" s="1"/>
  <c r="F996" i="3"/>
  <c r="F966" i="3"/>
  <c r="H966" i="3" s="1"/>
  <c r="F946" i="3"/>
  <c r="H946" i="3" s="1"/>
  <c r="F943" i="3"/>
  <c r="H943" i="3" s="1"/>
  <c r="F939" i="3"/>
  <c r="H939" i="3" s="1"/>
  <c r="F937" i="3"/>
  <c r="H937" i="3" s="1"/>
  <c r="F925" i="3"/>
  <c r="H925" i="3" s="1"/>
  <c r="F922" i="3"/>
  <c r="H922" i="3" s="1"/>
  <c r="F920" i="3"/>
  <c r="H920" i="3" s="1"/>
  <c r="F914" i="3"/>
  <c r="H914" i="3" s="1"/>
  <c r="F909" i="3"/>
  <c r="H909" i="3" s="1"/>
  <c r="F893" i="3"/>
  <c r="H893" i="3" s="1"/>
  <c r="F889" i="3"/>
  <c r="H889" i="3" s="1"/>
  <c r="F882" i="3"/>
  <c r="H882" i="3" s="1"/>
  <c r="F878" i="3"/>
  <c r="H878" i="3" s="1"/>
  <c r="F874" i="3"/>
  <c r="H874" i="3" s="1"/>
  <c r="F872" i="3"/>
  <c r="H872" i="3" s="1"/>
  <c r="F865" i="3"/>
  <c r="H865" i="3" s="1"/>
  <c r="F863" i="3"/>
  <c r="H863" i="3" s="1"/>
  <c r="F811" i="3"/>
  <c r="H811" i="3" s="1"/>
  <c r="F804" i="3"/>
  <c r="H804" i="3" s="1"/>
  <c r="F798" i="3"/>
  <c r="F795" i="3"/>
  <c r="H795" i="3" s="1"/>
  <c r="F788" i="3"/>
  <c r="H788" i="3" s="1"/>
  <c r="F785" i="3"/>
  <c r="H785" i="3" s="1"/>
  <c r="F765" i="3"/>
  <c r="H765" i="3" s="1"/>
  <c r="F759" i="3"/>
  <c r="H759" i="3" s="1"/>
  <c r="F756" i="3"/>
  <c r="H756" i="3" s="1"/>
  <c r="G346" i="4"/>
  <c r="I346" i="4" s="1"/>
  <c r="F698" i="14" l="1"/>
  <c r="G698" i="14" s="1"/>
  <c r="H798" i="3"/>
  <c r="F995" i="3"/>
  <c r="H995" i="3" s="1"/>
  <c r="H996" i="3"/>
  <c r="H764" i="16"/>
  <c r="H763" i="16" s="1"/>
  <c r="H762" i="16" s="1"/>
  <c r="H761" i="16" s="1"/>
  <c r="G522" i="5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45" i="4"/>
  <c r="I345" i="4" s="1"/>
  <c r="G649" i="5"/>
  <c r="G598" i="5"/>
  <c r="I598" i="5" s="1"/>
  <c r="G222" i="5"/>
  <c r="I222" i="5" s="1"/>
  <c r="G13" i="5"/>
  <c r="F764" i="3"/>
  <c r="H764" i="3" s="1"/>
  <c r="G633" i="5"/>
  <c r="F919" i="3"/>
  <c r="H919" i="3" s="1"/>
  <c r="G590" i="5"/>
  <c r="I590" i="5" s="1"/>
  <c r="F755" i="14"/>
  <c r="F892" i="3"/>
  <c r="H892" i="3" s="1"/>
  <c r="F921" i="3"/>
  <c r="F802" i="14"/>
  <c r="F755" i="3"/>
  <c r="H755" i="3" s="1"/>
  <c r="F787" i="3"/>
  <c r="H787" i="3" s="1"/>
  <c r="G593" i="5"/>
  <c r="I593" i="5" s="1"/>
  <c r="F908" i="3"/>
  <c r="H908" i="3" s="1"/>
  <c r="F1107" i="3"/>
  <c r="H1107" i="3" s="1"/>
  <c r="F758" i="3"/>
  <c r="H758" i="3" s="1"/>
  <c r="F862" i="3"/>
  <c r="H862" i="3" s="1"/>
  <c r="F888" i="3"/>
  <c r="H888" i="3" s="1"/>
  <c r="F913" i="3"/>
  <c r="H913" i="3" s="1"/>
  <c r="F965" i="3"/>
  <c r="H965" i="3" s="1"/>
  <c r="F1013" i="3"/>
  <c r="H1013" i="3" s="1"/>
  <c r="F877" i="3"/>
  <c r="H877" i="3" s="1"/>
  <c r="G606" i="5"/>
  <c r="I606" i="5" s="1"/>
  <c r="F794" i="3"/>
  <c r="H794" i="3" s="1"/>
  <c r="F797" i="3"/>
  <c r="H797" i="3" s="1"/>
  <c r="G41" i="5"/>
  <c r="I41" i="5" s="1"/>
  <c r="F803" i="3"/>
  <c r="H803" i="3" s="1"/>
  <c r="F810" i="3"/>
  <c r="H810" i="3" s="1"/>
  <c r="G634" i="5" l="1"/>
  <c r="I634" i="5" s="1"/>
  <c r="I633" i="5"/>
  <c r="G521" i="5"/>
  <c r="I521" i="5" s="1"/>
  <c r="I522" i="5"/>
  <c r="F801" i="14"/>
  <c r="H921" i="3"/>
  <c r="G648" i="5"/>
  <c r="I648" i="5" s="1"/>
  <c r="I649" i="5"/>
  <c r="H525" i="16"/>
  <c r="G591" i="5"/>
  <c r="I591" i="5" s="1"/>
  <c r="G344" i="4"/>
  <c r="I344" i="4" s="1"/>
  <c r="G52" i="5"/>
  <c r="I52" i="5" s="1"/>
  <c r="G694" i="5"/>
  <c r="I694" i="5" s="1"/>
  <c r="G597" i="5"/>
  <c r="G589" i="5"/>
  <c r="I589" i="5" s="1"/>
  <c r="G594" i="5"/>
  <c r="I594" i="5" s="1"/>
  <c r="G632" i="5"/>
  <c r="I632" i="5" s="1"/>
  <c r="G10" i="5"/>
  <c r="G12" i="5"/>
  <c r="G592" i="5"/>
  <c r="I592" i="5" s="1"/>
  <c r="F809" i="3"/>
  <c r="H809" i="3" s="1"/>
  <c r="F876" i="3"/>
  <c r="H876" i="3" s="1"/>
  <c r="F1012" i="3"/>
  <c r="H1012" i="3" s="1"/>
  <c r="F907" i="3"/>
  <c r="H907" i="3" s="1"/>
  <c r="F786" i="3"/>
  <c r="H786" i="3" s="1"/>
  <c r="F891" i="3"/>
  <c r="F793" i="3"/>
  <c r="H793" i="3" s="1"/>
  <c r="F796" i="3"/>
  <c r="F697" i="14"/>
  <c r="G697" i="14" s="1"/>
  <c r="F912" i="3"/>
  <c r="H912" i="3" s="1"/>
  <c r="F964" i="3"/>
  <c r="H964" i="3" s="1"/>
  <c r="F754" i="3"/>
  <c r="H754" i="3" s="1"/>
  <c r="F763" i="3"/>
  <c r="H763" i="3" s="1"/>
  <c r="G605" i="5"/>
  <c r="I605" i="5" s="1"/>
  <c r="G607" i="5"/>
  <c r="I607" i="5" s="1"/>
  <c r="G61" i="5"/>
  <c r="I61" i="5" s="1"/>
  <c r="G63" i="5"/>
  <c r="I63" i="5" s="1"/>
  <c r="G40" i="5"/>
  <c r="I40" i="5" s="1"/>
  <c r="G42" i="5"/>
  <c r="I42" i="5" s="1"/>
  <c r="G36" i="5"/>
  <c r="I36" i="5" s="1"/>
  <c r="G38" i="5"/>
  <c r="I38" i="5" s="1"/>
  <c r="G647" i="5" l="1"/>
  <c r="F696" i="14"/>
  <c r="G696" i="14" s="1"/>
  <c r="H796" i="3"/>
  <c r="F890" i="3"/>
  <c r="H890" i="3" s="1"/>
  <c r="H891" i="3"/>
  <c r="G596" i="5"/>
  <c r="I596" i="5" s="1"/>
  <c r="I597" i="5"/>
  <c r="H313" i="15"/>
  <c r="G313" i="15"/>
  <c r="G832" i="14"/>
  <c r="G831" i="14" s="1"/>
  <c r="G830" i="14" s="1"/>
  <c r="F832" i="14"/>
  <c r="F831" i="14" s="1"/>
  <c r="F830" i="14" s="1"/>
  <c r="G758" i="14"/>
  <c r="F758" i="14"/>
  <c r="G692" i="14"/>
  <c r="G881" i="14"/>
  <c r="G880" i="14" s="1"/>
  <c r="F881" i="14"/>
  <c r="F880" i="14" s="1"/>
  <c r="G35" i="5"/>
  <c r="I35" i="5" s="1"/>
  <c r="G604" i="5"/>
  <c r="G631" i="5"/>
  <c r="I631" i="5" s="1"/>
  <c r="G39" i="5"/>
  <c r="I39" i="5" s="1"/>
  <c r="G693" i="5"/>
  <c r="I693" i="5" s="1"/>
  <c r="G588" i="5"/>
  <c r="F762" i="3"/>
  <c r="H762" i="3" s="1"/>
  <c r="F963" i="3"/>
  <c r="H963" i="3" s="1"/>
  <c r="F808" i="3"/>
  <c r="H808" i="3" s="1"/>
  <c r="F792" i="3"/>
  <c r="H792" i="3" s="1"/>
  <c r="F911" i="3"/>
  <c r="H911" i="3" s="1"/>
  <c r="F906" i="3"/>
  <c r="H906" i="3" s="1"/>
  <c r="F746" i="3"/>
  <c r="H746" i="3" s="1"/>
  <c r="F744" i="3"/>
  <c r="H744" i="3" s="1"/>
  <c r="F742" i="3"/>
  <c r="H742" i="3" s="1"/>
  <c r="F784" i="3"/>
  <c r="H784" i="3" s="1"/>
  <c r="F827" i="3"/>
  <c r="H827" i="3" s="1"/>
  <c r="F851" i="3"/>
  <c r="H851" i="3" s="1"/>
  <c r="F729" i="3"/>
  <c r="H729" i="3" s="1"/>
  <c r="F722" i="3"/>
  <c r="H722" i="3" s="1"/>
  <c r="F669" i="3"/>
  <c r="H669" i="3" s="1"/>
  <c r="F703" i="3"/>
  <c r="H703" i="3" s="1"/>
  <c r="F654" i="3"/>
  <c r="H654" i="3" s="1"/>
  <c r="F698" i="3"/>
  <c r="H698" i="3" s="1"/>
  <c r="F647" i="3"/>
  <c r="H647" i="3" s="1"/>
  <c r="F637" i="3"/>
  <c r="H637" i="3" s="1"/>
  <c r="F631" i="3"/>
  <c r="H631" i="3" s="1"/>
  <c r="F628" i="3"/>
  <c r="H628" i="3" s="1"/>
  <c r="F618" i="3"/>
  <c r="H618" i="3" s="1"/>
  <c r="F607" i="3"/>
  <c r="H607" i="3" s="1"/>
  <c r="F612" i="3"/>
  <c r="H612" i="3" s="1"/>
  <c r="F590" i="3"/>
  <c r="H590" i="3" s="1"/>
  <c r="F580" i="3"/>
  <c r="H580" i="3" s="1"/>
  <c r="F576" i="3"/>
  <c r="H576" i="3" s="1"/>
  <c r="F573" i="3"/>
  <c r="H573" i="3" s="1"/>
  <c r="F566" i="3"/>
  <c r="H566" i="3" s="1"/>
  <c r="F560" i="3"/>
  <c r="H560" i="3" s="1"/>
  <c r="F553" i="3"/>
  <c r="H553" i="3" s="1"/>
  <c r="F538" i="3"/>
  <c r="H538" i="3" s="1"/>
  <c r="F533" i="3"/>
  <c r="H533" i="3" s="1"/>
  <c r="F527" i="3"/>
  <c r="H527" i="3" s="1"/>
  <c r="F505" i="3"/>
  <c r="H505" i="3" s="1"/>
  <c r="F507" i="3"/>
  <c r="H507" i="3" s="1"/>
  <c r="F512" i="3"/>
  <c r="H512" i="3" s="1"/>
  <c r="F692" i="14" l="1"/>
  <c r="G587" i="5"/>
  <c r="I588" i="5"/>
  <c r="G595" i="5"/>
  <c r="I595" i="5" s="1"/>
  <c r="I604" i="5"/>
  <c r="G646" i="5"/>
  <c r="I646" i="5" s="1"/>
  <c r="I647" i="5"/>
  <c r="D42" i="13"/>
  <c r="G630" i="5"/>
  <c r="I630" i="5" s="1"/>
  <c r="G603" i="5"/>
  <c r="I603" i="5" s="1"/>
  <c r="G791" i="14"/>
  <c r="G790" i="14" s="1"/>
  <c r="F791" i="14"/>
  <c r="F790" i="14" s="1"/>
  <c r="G662" i="14"/>
  <c r="F662" i="14"/>
  <c r="G705" i="14"/>
  <c r="F705" i="14"/>
  <c r="E42" i="13"/>
  <c r="G34" i="5"/>
  <c r="I34" i="5" s="1"/>
  <c r="F721" i="3"/>
  <c r="H721" i="3" s="1"/>
  <c r="F783" i="3"/>
  <c r="H783" i="3" s="1"/>
  <c r="F905" i="3"/>
  <c r="H905" i="3" s="1"/>
  <c r="F537" i="3"/>
  <c r="H537" i="3" s="1"/>
  <c r="G207" i="5"/>
  <c r="I207" i="5" s="1"/>
  <c r="F728" i="3"/>
  <c r="H728" i="3" s="1"/>
  <c r="F639" i="14"/>
  <c r="G639" i="14" s="1"/>
  <c r="F741" i="3"/>
  <c r="H741" i="3" s="1"/>
  <c r="F962" i="3"/>
  <c r="H962" i="3" s="1"/>
  <c r="G215" i="5"/>
  <c r="F850" i="3"/>
  <c r="H850" i="3" s="1"/>
  <c r="F743" i="3"/>
  <c r="H743" i="3" s="1"/>
  <c r="F511" i="3"/>
  <c r="H511" i="3" s="1"/>
  <c r="G182" i="5"/>
  <c r="I182" i="5" s="1"/>
  <c r="G203" i="5"/>
  <c r="G190" i="5"/>
  <c r="F526" i="3"/>
  <c r="H526" i="3" s="1"/>
  <c r="G463" i="14"/>
  <c r="F611" i="3"/>
  <c r="H611" i="3" s="1"/>
  <c r="F646" i="3"/>
  <c r="H646" i="3" s="1"/>
  <c r="G325" i="5"/>
  <c r="I325" i="5" s="1"/>
  <c r="F826" i="3"/>
  <c r="H826" i="3" s="1"/>
  <c r="F745" i="3"/>
  <c r="H745" i="3" s="1"/>
  <c r="F552" i="3"/>
  <c r="H552" i="3" s="1"/>
  <c r="F479" i="3"/>
  <c r="F482" i="3"/>
  <c r="H482" i="3" s="1"/>
  <c r="F443" i="3"/>
  <c r="H443" i="3" s="1"/>
  <c r="G510" i="14"/>
  <c r="G509" i="14" s="1"/>
  <c r="G503" i="14"/>
  <c r="G502" i="14" s="1"/>
  <c r="G1098" i="4"/>
  <c r="I1098" i="4" s="1"/>
  <c r="F461" i="3"/>
  <c r="H461" i="3" s="1"/>
  <c r="F457" i="3"/>
  <c r="H457" i="3" s="1"/>
  <c r="F434" i="14" l="1"/>
  <c r="H479" i="3"/>
  <c r="G202" i="5"/>
  <c r="I202" i="5" s="1"/>
  <c r="I203" i="5"/>
  <c r="G189" i="5"/>
  <c r="I189" i="5" s="1"/>
  <c r="I190" i="5"/>
  <c r="G214" i="5"/>
  <c r="I214" i="5" s="1"/>
  <c r="I215" i="5"/>
  <c r="G586" i="5"/>
  <c r="I586" i="5" s="1"/>
  <c r="I587" i="5"/>
  <c r="G462" i="14"/>
  <c r="F525" i="3"/>
  <c r="H525" i="3" s="1"/>
  <c r="H137" i="16"/>
  <c r="H136" i="16" s="1"/>
  <c r="H135" i="16" s="1"/>
  <c r="H134" i="16" s="1"/>
  <c r="H139" i="16"/>
  <c r="G434" i="14"/>
  <c r="F433" i="14"/>
  <c r="F432" i="14" s="1"/>
  <c r="H843" i="16"/>
  <c r="H842" i="16" s="1"/>
  <c r="H841" i="16" s="1"/>
  <c r="H840" i="16" s="1"/>
  <c r="H845" i="16" s="1"/>
  <c r="G1097" i="4"/>
  <c r="I1097" i="4" s="1"/>
  <c r="G208" i="5"/>
  <c r="I208" i="5" s="1"/>
  <c r="G213" i="5"/>
  <c r="I213" i="5" s="1"/>
  <c r="G206" i="5"/>
  <c r="I206" i="5" s="1"/>
  <c r="F740" i="3"/>
  <c r="G154" i="5"/>
  <c r="I154" i="5" s="1"/>
  <c r="G188" i="5"/>
  <c r="I188" i="5" s="1"/>
  <c r="G326" i="5"/>
  <c r="I326" i="5" s="1"/>
  <c r="G191" i="5"/>
  <c r="I191" i="5" s="1"/>
  <c r="G216" i="5"/>
  <c r="I216" i="5" s="1"/>
  <c r="G183" i="5"/>
  <c r="I183" i="5" s="1"/>
  <c r="G181" i="5"/>
  <c r="I181" i="5" s="1"/>
  <c r="G201" i="5"/>
  <c r="I201" i="5" s="1"/>
  <c r="G204" i="5"/>
  <c r="I204" i="5" s="1"/>
  <c r="G157" i="5"/>
  <c r="I157" i="5" s="1"/>
  <c r="G725" i="5"/>
  <c r="I725" i="5" s="1"/>
  <c r="F412" i="14"/>
  <c r="F551" i="3"/>
  <c r="F825" i="3"/>
  <c r="H825" i="3" s="1"/>
  <c r="F510" i="3"/>
  <c r="H510" i="3" s="1"/>
  <c r="F849" i="3"/>
  <c r="H849" i="3" s="1"/>
  <c r="D40" i="2"/>
  <c r="F40" i="2" s="1"/>
  <c r="F727" i="3"/>
  <c r="H727" i="3" s="1"/>
  <c r="F638" i="14"/>
  <c r="G638" i="14" s="1"/>
  <c r="F536" i="3"/>
  <c r="H536" i="3" s="1"/>
  <c r="F782" i="3"/>
  <c r="H782" i="3" s="1"/>
  <c r="F442" i="3"/>
  <c r="H442" i="3" s="1"/>
  <c r="F478" i="3"/>
  <c r="H478" i="3" s="1"/>
  <c r="G758" i="5"/>
  <c r="I758" i="5" s="1"/>
  <c r="F481" i="3"/>
  <c r="H481" i="3" s="1"/>
  <c r="G762" i="5"/>
  <c r="I762" i="5" s="1"/>
  <c r="F428" i="3"/>
  <c r="F424" i="3"/>
  <c r="F420" i="3"/>
  <c r="F399" i="3"/>
  <c r="F394" i="3"/>
  <c r="H394" i="3" s="1"/>
  <c r="F396" i="3"/>
  <c r="H396" i="3" s="1"/>
  <c r="F391" i="3"/>
  <c r="H391" i="3" s="1"/>
  <c r="F386" i="3"/>
  <c r="H386" i="3" s="1"/>
  <c r="F388" i="3"/>
  <c r="H388" i="3" s="1"/>
  <c r="F380" i="3"/>
  <c r="H380" i="3" s="1"/>
  <c r="F382" i="3"/>
  <c r="F376" i="3"/>
  <c r="H376" i="3" s="1"/>
  <c r="F374" i="3"/>
  <c r="H374" i="3" s="1"/>
  <c r="F311" i="3"/>
  <c r="H311" i="3" s="1"/>
  <c r="F317" i="3"/>
  <c r="H317" i="3" s="1"/>
  <c r="F341" i="3"/>
  <c r="F337" i="3"/>
  <c r="H337" i="3" s="1"/>
  <c r="F333" i="3"/>
  <c r="F350" i="3"/>
  <c r="H350" i="3" s="1"/>
  <c r="F295" i="3"/>
  <c r="H295" i="3" s="1"/>
  <c r="F299" i="3"/>
  <c r="H299" i="3" s="1"/>
  <c r="F277" i="3"/>
  <c r="H277" i="3" s="1"/>
  <c r="F265" i="3"/>
  <c r="H265" i="3" s="1"/>
  <c r="F258" i="3"/>
  <c r="H258" i="3" s="1"/>
  <c r="F64" i="3"/>
  <c r="H64" i="3" s="1"/>
  <c r="F227" i="3"/>
  <c r="H227" i="3" s="1"/>
  <c r="F221" i="3"/>
  <c r="H221" i="3" s="1"/>
  <c r="F296" i="14" l="1"/>
  <c r="G296" i="14" s="1"/>
  <c r="H333" i="3"/>
  <c r="F304" i="14"/>
  <c r="G304" i="14" s="1"/>
  <c r="H341" i="3"/>
  <c r="F358" i="14"/>
  <c r="G358" i="14" s="1"/>
  <c r="H399" i="3"/>
  <c r="F383" i="14"/>
  <c r="G383" i="14" s="1"/>
  <c r="H424" i="3"/>
  <c r="F739" i="3"/>
  <c r="H739" i="3" s="1"/>
  <c r="H740" i="3"/>
  <c r="F341" i="14"/>
  <c r="G341" i="14" s="1"/>
  <c r="H382" i="3"/>
  <c r="G379" i="14"/>
  <c r="H420" i="3"/>
  <c r="G387" i="14"/>
  <c r="H428" i="3"/>
  <c r="F550" i="3"/>
  <c r="H550" i="3" s="1"/>
  <c r="H551" i="3"/>
  <c r="G336" i="14"/>
  <c r="F375" i="3"/>
  <c r="H375" i="3" s="1"/>
  <c r="G682" i="14"/>
  <c r="G681" i="14" s="1"/>
  <c r="F682" i="14"/>
  <c r="F681" i="14" s="1"/>
  <c r="F226" i="3"/>
  <c r="H226" i="3" s="1"/>
  <c r="G1096" i="4"/>
  <c r="I1096" i="4" s="1"/>
  <c r="G724" i="5"/>
  <c r="I724" i="5" s="1"/>
  <c r="G726" i="5"/>
  <c r="I726" i="5" s="1"/>
  <c r="G156" i="5"/>
  <c r="G602" i="5"/>
  <c r="I602" i="5" s="1"/>
  <c r="G205" i="5"/>
  <c r="I205" i="5" s="1"/>
  <c r="G180" i="5"/>
  <c r="I180" i="5" s="1"/>
  <c r="F257" i="3"/>
  <c r="H257" i="3" s="1"/>
  <c r="F229" i="14"/>
  <c r="G229" i="14" s="1"/>
  <c r="F188" i="3"/>
  <c r="H188" i="3" s="1"/>
  <c r="F155" i="14"/>
  <c r="G155" i="14" s="1"/>
  <c r="F480" i="3"/>
  <c r="H480" i="3" s="1"/>
  <c r="F276" i="3"/>
  <c r="H276" i="3" s="1"/>
  <c r="F310" i="3"/>
  <c r="H310" i="3" s="1"/>
  <c r="F395" i="3"/>
  <c r="F355" i="14"/>
  <c r="G355" i="14" s="1"/>
  <c r="F781" i="3"/>
  <c r="H781" i="3" s="1"/>
  <c r="F220" i="3"/>
  <c r="H220" i="3" s="1"/>
  <c r="F294" i="3"/>
  <c r="H294" i="3" s="1"/>
  <c r="F385" i="3"/>
  <c r="G345" i="14"/>
  <c r="F477" i="3"/>
  <c r="H477" i="3" s="1"/>
  <c r="G433" i="14"/>
  <c r="F441" i="3"/>
  <c r="H441" i="3" s="1"/>
  <c r="F316" i="3"/>
  <c r="H316" i="3" s="1"/>
  <c r="F390" i="3"/>
  <c r="H390" i="3" s="1"/>
  <c r="F350" i="14"/>
  <c r="G350" i="14" s="1"/>
  <c r="F373" i="3"/>
  <c r="G334" i="14"/>
  <c r="F387" i="3"/>
  <c r="F347" i="14"/>
  <c r="G347" i="14" s="1"/>
  <c r="F393" i="3"/>
  <c r="F353" i="14"/>
  <c r="G353" i="14" s="1"/>
  <c r="F726" i="3"/>
  <c r="H726" i="3" s="1"/>
  <c r="F637" i="14"/>
  <c r="F419" i="3"/>
  <c r="H419" i="3" s="1"/>
  <c r="G827" i="5"/>
  <c r="I827" i="5" s="1"/>
  <c r="F423" i="3"/>
  <c r="H423" i="3" s="1"/>
  <c r="G834" i="5"/>
  <c r="I834" i="5" s="1"/>
  <c r="G761" i="5"/>
  <c r="I761" i="5" s="1"/>
  <c r="G763" i="5"/>
  <c r="I763" i="5" s="1"/>
  <c r="F298" i="3"/>
  <c r="H298" i="3" s="1"/>
  <c r="G791" i="5"/>
  <c r="I791" i="5" s="1"/>
  <c r="F427" i="3"/>
  <c r="H427" i="3" s="1"/>
  <c r="G841" i="5"/>
  <c r="I841" i="5" s="1"/>
  <c r="G759" i="5"/>
  <c r="I759" i="5" s="1"/>
  <c r="G757" i="5"/>
  <c r="I757" i="5" s="1"/>
  <c r="F250" i="3"/>
  <c r="H250" i="3" s="1"/>
  <c r="F349" i="3"/>
  <c r="H349" i="3" s="1"/>
  <c r="G401" i="5"/>
  <c r="I401" i="5" s="1"/>
  <c r="F332" i="3"/>
  <c r="H332" i="3" s="1"/>
  <c r="G79" i="5"/>
  <c r="I79" i="5" s="1"/>
  <c r="F340" i="3"/>
  <c r="H340" i="3" s="1"/>
  <c r="F336" i="3"/>
  <c r="H336" i="3" s="1"/>
  <c r="F246" i="3"/>
  <c r="H246" i="3" s="1"/>
  <c r="F232" i="3"/>
  <c r="H232" i="3" s="1"/>
  <c r="F236" i="3"/>
  <c r="H236" i="3" s="1"/>
  <c r="F218" i="3"/>
  <c r="H218" i="3" s="1"/>
  <c r="F176" i="14"/>
  <c r="G176" i="14" s="1"/>
  <c r="F198" i="3"/>
  <c r="H198" i="3" s="1"/>
  <c r="F167" i="3"/>
  <c r="H167" i="3" s="1"/>
  <c r="F101" i="3"/>
  <c r="H101" i="3" s="1"/>
  <c r="F110" i="3"/>
  <c r="H110" i="3" s="1"/>
  <c r="F354" i="14" l="1"/>
  <c r="G354" i="14" s="1"/>
  <c r="H395" i="3"/>
  <c r="F352" i="14"/>
  <c r="G352" i="14" s="1"/>
  <c r="H393" i="3"/>
  <c r="F346" i="14"/>
  <c r="G346" i="14" s="1"/>
  <c r="H387" i="3"/>
  <c r="G333" i="14"/>
  <c r="H373" i="3"/>
  <c r="G344" i="14"/>
  <c r="H385" i="3"/>
  <c r="G155" i="5"/>
  <c r="I155" i="5" s="1"/>
  <c r="I156" i="5"/>
  <c r="H131" i="16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1095" i="4"/>
  <c r="I1095" i="4" s="1"/>
  <c r="G77" i="5"/>
  <c r="I77" i="5" s="1"/>
  <c r="G842" i="5"/>
  <c r="I842" i="5" s="1"/>
  <c r="G828" i="5"/>
  <c r="I828" i="5" s="1"/>
  <c r="G760" i="5"/>
  <c r="I760" i="5" s="1"/>
  <c r="G756" i="5"/>
  <c r="I756" i="5" s="1"/>
  <c r="G835" i="5"/>
  <c r="I835" i="5" s="1"/>
  <c r="F214" i="3"/>
  <c r="H214" i="3" s="1"/>
  <c r="F297" i="3"/>
  <c r="H297" i="3" s="1"/>
  <c r="F422" i="3"/>
  <c r="H422" i="3" s="1"/>
  <c r="F382" i="14"/>
  <c r="G382" i="14" s="1"/>
  <c r="F389" i="3"/>
  <c r="F349" i="14"/>
  <c r="G349" i="14" s="1"/>
  <c r="F440" i="3"/>
  <c r="H440" i="3" s="1"/>
  <c r="F187" i="3"/>
  <c r="F154" i="14"/>
  <c r="G154" i="14" s="1"/>
  <c r="F166" i="3"/>
  <c r="H166" i="3" s="1"/>
  <c r="F426" i="3"/>
  <c r="H426" i="3" s="1"/>
  <c r="G386" i="14"/>
  <c r="F418" i="3"/>
  <c r="H418" i="3" s="1"/>
  <c r="G378" i="14"/>
  <c r="F197" i="3"/>
  <c r="H197" i="3" s="1"/>
  <c r="F384" i="3"/>
  <c r="H384" i="3" s="1"/>
  <c r="F335" i="3"/>
  <c r="F339" i="3"/>
  <c r="H339" i="3" s="1"/>
  <c r="F303" i="14"/>
  <c r="G303" i="14" s="1"/>
  <c r="F348" i="3"/>
  <c r="H348" i="3" s="1"/>
  <c r="F476" i="3"/>
  <c r="H476" i="3" s="1"/>
  <c r="F217" i="3"/>
  <c r="H217" i="3" s="1"/>
  <c r="F331" i="3"/>
  <c r="H331" i="3" s="1"/>
  <c r="F295" i="14"/>
  <c r="G295" i="14" s="1"/>
  <c r="F392" i="3"/>
  <c r="F293" i="3"/>
  <c r="F309" i="3"/>
  <c r="H309" i="3" s="1"/>
  <c r="F256" i="3"/>
  <c r="H256" i="3" s="1"/>
  <c r="F228" i="14"/>
  <c r="G228" i="14" s="1"/>
  <c r="G790" i="5"/>
  <c r="I790" i="5" s="1"/>
  <c r="G792" i="5"/>
  <c r="I792" i="5" s="1"/>
  <c r="G400" i="5"/>
  <c r="I400" i="5" s="1"/>
  <c r="G402" i="5"/>
  <c r="I402" i="5" s="1"/>
  <c r="G91" i="5"/>
  <c r="I91" i="5" s="1"/>
  <c r="G93" i="5"/>
  <c r="I93" i="5" s="1"/>
  <c r="G84" i="5"/>
  <c r="I84" i="5" s="1"/>
  <c r="G86" i="5"/>
  <c r="I86" i="5" s="1"/>
  <c r="F109" i="3"/>
  <c r="H109" i="3" s="1"/>
  <c r="G435" i="5"/>
  <c r="I435" i="5" s="1"/>
  <c r="F100" i="3"/>
  <c r="H100" i="3" s="1"/>
  <c r="G421" i="5"/>
  <c r="I421" i="5" s="1"/>
  <c r="F127" i="3"/>
  <c r="H127" i="3" s="1"/>
  <c r="F132" i="3"/>
  <c r="H132" i="3" s="1"/>
  <c r="F121" i="3"/>
  <c r="H121" i="3" s="1"/>
  <c r="F118" i="3"/>
  <c r="H118" i="3" s="1"/>
  <c r="F71" i="3"/>
  <c r="H71" i="3" s="1"/>
  <c r="F63" i="3"/>
  <c r="H63" i="3" s="1"/>
  <c r="F42" i="3"/>
  <c r="H42" i="3" s="1"/>
  <c r="F18" i="3"/>
  <c r="H18" i="3" s="1"/>
  <c r="F351" i="14" l="1"/>
  <c r="G351" i="14" s="1"/>
  <c r="H392" i="3"/>
  <c r="F334" i="3"/>
  <c r="H334" i="3" s="1"/>
  <c r="H335" i="3"/>
  <c r="F348" i="14"/>
  <c r="G348" i="14" s="1"/>
  <c r="H389" i="3"/>
  <c r="F292" i="3"/>
  <c r="H292" i="3" s="1"/>
  <c r="H293" i="3"/>
  <c r="F153" i="14"/>
  <c r="G153" i="14" s="1"/>
  <c r="H187" i="3"/>
  <c r="F347" i="3"/>
  <c r="F294" i="14"/>
  <c r="F330" i="3"/>
  <c r="H330" i="3" s="1"/>
  <c r="F302" i="14"/>
  <c r="F338" i="3"/>
  <c r="H338" i="3" s="1"/>
  <c r="G343" i="14"/>
  <c r="G395" i="14"/>
  <c r="G394" i="14" s="1"/>
  <c r="F395" i="14"/>
  <c r="F394" i="14" s="1"/>
  <c r="G399" i="5"/>
  <c r="G789" i="5"/>
  <c r="I789" i="5" s="1"/>
  <c r="G422" i="5"/>
  <c r="I422" i="5" s="1"/>
  <c r="G755" i="5"/>
  <c r="I755" i="5" s="1"/>
  <c r="G83" i="5"/>
  <c r="G90" i="5"/>
  <c r="F41" i="3"/>
  <c r="F43" i="14"/>
  <c r="G43" i="14" s="1"/>
  <c r="F62" i="3"/>
  <c r="H62" i="3" s="1"/>
  <c r="F296" i="3"/>
  <c r="H296" i="3" s="1"/>
  <c r="F70" i="3"/>
  <c r="H70" i="3" s="1"/>
  <c r="F131" i="3"/>
  <c r="H131" i="3" s="1"/>
  <c r="F174" i="14"/>
  <c r="G174" i="14" s="1"/>
  <c r="F175" i="14"/>
  <c r="G175" i="14" s="1"/>
  <c r="F108" i="3"/>
  <c r="F308" i="3"/>
  <c r="H308" i="3" s="1"/>
  <c r="F117" i="3"/>
  <c r="H117" i="3" s="1"/>
  <c r="F255" i="3"/>
  <c r="H255" i="3" s="1"/>
  <c r="F227" i="14"/>
  <c r="F120" i="3"/>
  <c r="H120" i="3" s="1"/>
  <c r="F417" i="3"/>
  <c r="H417" i="3" s="1"/>
  <c r="F17" i="3"/>
  <c r="F196" i="3"/>
  <c r="H196" i="3" s="1"/>
  <c r="F425" i="3"/>
  <c r="H425" i="3" s="1"/>
  <c r="F165" i="3"/>
  <c r="H165" i="3" s="1"/>
  <c r="F439" i="3"/>
  <c r="H439" i="3" s="1"/>
  <c r="F421" i="3"/>
  <c r="H421" i="3" s="1"/>
  <c r="F381" i="14"/>
  <c r="G434" i="5"/>
  <c r="I434" i="5" s="1"/>
  <c r="G436" i="5"/>
  <c r="I436" i="5" s="1"/>
  <c r="G18" i="14" l="1"/>
  <c r="H17" i="3"/>
  <c r="G89" i="5"/>
  <c r="I89" i="5" s="1"/>
  <c r="I90" i="5"/>
  <c r="F107" i="3"/>
  <c r="H107" i="3" s="1"/>
  <c r="H108" i="3"/>
  <c r="F42" i="14"/>
  <c r="H41" i="3"/>
  <c r="G82" i="5"/>
  <c r="I82" i="5" s="1"/>
  <c r="I83" i="5"/>
  <c r="G398" i="5"/>
  <c r="I398" i="5" s="1"/>
  <c r="I399" i="5"/>
  <c r="F346" i="3"/>
  <c r="H346" i="3" s="1"/>
  <c r="H347" i="3"/>
  <c r="G302" i="14"/>
  <c r="G301" i="14" s="1"/>
  <c r="F301" i="14"/>
  <c r="G294" i="14"/>
  <c r="G293" i="14" s="1"/>
  <c r="F293" i="14"/>
  <c r="G42" i="14"/>
  <c r="G1065" i="15"/>
  <c r="G1064" i="15" s="1"/>
  <c r="F69" i="3"/>
  <c r="H69" i="3" s="1"/>
  <c r="F329" i="3"/>
  <c r="H329" i="3" s="1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88" i="5"/>
  <c r="G754" i="5"/>
  <c r="I754" i="5" s="1"/>
  <c r="G433" i="5"/>
  <c r="G788" i="5"/>
  <c r="I788" i="5" s="1"/>
  <c r="F254" i="3"/>
  <c r="H254" i="3" s="1"/>
  <c r="F130" i="3"/>
  <c r="H130" i="3" s="1"/>
  <c r="F119" i="3"/>
  <c r="H119" i="3" s="1"/>
  <c r="H495" i="15"/>
  <c r="G432" i="5" l="1"/>
  <c r="I433" i="5"/>
  <c r="G87" i="5"/>
  <c r="I87" i="5" s="1"/>
  <c r="I88" i="5"/>
  <c r="G292" i="14"/>
  <c r="G291" i="14" s="1"/>
  <c r="F292" i="14"/>
  <c r="F291" i="14" s="1"/>
  <c r="H494" i="15"/>
  <c r="H841" i="15"/>
  <c r="F144" i="14"/>
  <c r="F143" i="14" s="1"/>
  <c r="G840" i="15"/>
  <c r="H1065" i="15"/>
  <c r="H1064" i="15" s="1"/>
  <c r="G81" i="5"/>
  <c r="G397" i="5"/>
  <c r="G787" i="5"/>
  <c r="I787" i="5" s="1"/>
  <c r="G753" i="5"/>
  <c r="I753" i="5" s="1"/>
  <c r="F328" i="3"/>
  <c r="H328" i="3" s="1"/>
  <c r="F253" i="3"/>
  <c r="H253" i="3" s="1"/>
  <c r="G80" i="5" l="1"/>
  <c r="I80" i="5" s="1"/>
  <c r="I81" i="5"/>
  <c r="G396" i="5"/>
  <c r="I396" i="5" s="1"/>
  <c r="I397" i="5"/>
  <c r="G431" i="5"/>
  <c r="I432" i="5"/>
  <c r="G50" i="14"/>
  <c r="G56" i="15"/>
  <c r="F49" i="14"/>
  <c r="H840" i="15"/>
  <c r="G144" i="14"/>
  <c r="G143" i="14" s="1"/>
  <c r="G1060" i="15"/>
  <c r="G1059" i="15" s="1"/>
  <c r="F1101" i="3"/>
  <c r="H1101" i="3" s="1"/>
  <c r="F861" i="3"/>
  <c r="F125" i="3"/>
  <c r="H125" i="3" s="1"/>
  <c r="G786" i="5"/>
  <c r="I786" i="5" s="1"/>
  <c r="G395" i="5"/>
  <c r="I395" i="5" s="1"/>
  <c r="F252" i="3"/>
  <c r="H252" i="3" s="1"/>
  <c r="G1137" i="4"/>
  <c r="I1137" i="4" s="1"/>
  <c r="G1054" i="4"/>
  <c r="I1054" i="4" s="1"/>
  <c r="H895" i="15"/>
  <c r="F860" i="3" l="1"/>
  <c r="H860" i="3" s="1"/>
  <c r="H861" i="3"/>
  <c r="G430" i="5"/>
  <c r="I430" i="5" s="1"/>
  <c r="I431" i="5"/>
  <c r="H17" i="15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24" i="3"/>
  <c r="H124" i="3" s="1"/>
  <c r="G1053" i="4"/>
  <c r="G917" i="15"/>
  <c r="H917" i="15" s="1"/>
  <c r="G1136" i="4"/>
  <c r="I1136" i="4" s="1"/>
  <c r="F357" i="3"/>
  <c r="H357" i="3" s="1"/>
  <c r="H880" i="15"/>
  <c r="F23" i="3"/>
  <c r="H23" i="3" s="1"/>
  <c r="G1012" i="4"/>
  <c r="H879" i="15" l="1"/>
  <c r="I1012" i="4"/>
  <c r="G916" i="15"/>
  <c r="H916" i="15" s="1"/>
  <c r="I1053" i="4"/>
  <c r="H482" i="16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36" i="4"/>
  <c r="I236" i="4" s="1"/>
  <c r="H483" i="16" l="1"/>
  <c r="G235" i="4"/>
  <c r="I235" i="4" s="1"/>
  <c r="H216" i="15"/>
  <c r="H215" i="15" s="1"/>
  <c r="H214" i="15" s="1"/>
  <c r="H213" i="15" s="1"/>
  <c r="G116" i="4"/>
  <c r="I116" i="4" s="1"/>
  <c r="G113" i="4"/>
  <c r="I113" i="4" s="1"/>
  <c r="G104" i="4"/>
  <c r="I104" i="4" s="1"/>
  <c r="G234" i="4" l="1"/>
  <c r="I234" i="4" s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12" i="4"/>
  <c r="I112" i="4" s="1"/>
  <c r="G115" i="4"/>
  <c r="G111" i="15"/>
  <c r="H111" i="15" s="1"/>
  <c r="G106" i="4"/>
  <c r="I106" i="4" s="1"/>
  <c r="F103" i="3"/>
  <c r="H103" i="3" s="1"/>
  <c r="G100" i="4"/>
  <c r="I100" i="4" s="1"/>
  <c r="F97" i="3"/>
  <c r="H97" i="3" s="1"/>
  <c r="G110" i="15" l="1"/>
  <c r="I115" i="4"/>
  <c r="H110" i="15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106" i="15"/>
  <c r="G103" i="4"/>
  <c r="G99" i="4"/>
  <c r="I99" i="4" s="1"/>
  <c r="G111" i="4"/>
  <c r="I111" i="4" s="1"/>
  <c r="F96" i="3"/>
  <c r="H96" i="3" s="1"/>
  <c r="G409" i="5"/>
  <c r="I409" i="5" s="1"/>
  <c r="F102" i="3"/>
  <c r="H102" i="3" s="1"/>
  <c r="G424" i="5"/>
  <c r="I424" i="5" s="1"/>
  <c r="G389" i="4"/>
  <c r="I389" i="4" s="1"/>
  <c r="G376" i="4"/>
  <c r="I376" i="4" s="1"/>
  <c r="G102" i="4" l="1"/>
  <c r="I102" i="4" s="1"/>
  <c r="I103" i="4"/>
  <c r="H106" i="15"/>
  <c r="H361" i="16"/>
  <c r="H360" i="16" s="1"/>
  <c r="H359" i="16" s="1"/>
  <c r="H358" i="16" s="1"/>
  <c r="G98" i="4"/>
  <c r="G375" i="4"/>
  <c r="G345" i="15"/>
  <c r="H345" i="15" s="1"/>
  <c r="G388" i="4"/>
  <c r="I388" i="4" s="1"/>
  <c r="G410" i="5"/>
  <c r="I410" i="5" s="1"/>
  <c r="G425" i="5"/>
  <c r="I425" i="5" s="1"/>
  <c r="F99" i="3"/>
  <c r="G91" i="14"/>
  <c r="G90" i="14" s="1"/>
  <c r="F95" i="3"/>
  <c r="H95" i="3" s="1"/>
  <c r="G448" i="4"/>
  <c r="I448" i="4" s="1"/>
  <c r="G344" i="15" l="1"/>
  <c r="H344" i="15" s="1"/>
  <c r="I375" i="4"/>
  <c r="F98" i="3"/>
  <c r="H98" i="3" s="1"/>
  <c r="H99" i="3"/>
  <c r="G97" i="4"/>
  <c r="I98" i="4"/>
  <c r="H357" i="16"/>
  <c r="H90" i="15"/>
  <c r="G90" i="15"/>
  <c r="G387" i="4"/>
  <c r="I387" i="4" s="1"/>
  <c r="F94" i="3"/>
  <c r="H94" i="3" s="1"/>
  <c r="G43" i="6"/>
  <c r="G19" i="6"/>
  <c r="I19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75" i="5"/>
  <c r="I975" i="5" s="1"/>
  <c r="G908" i="5"/>
  <c r="I908" i="5" s="1"/>
  <c r="G899" i="5"/>
  <c r="I899" i="5" s="1"/>
  <c r="G894" i="5"/>
  <c r="I894" i="5" s="1"/>
  <c r="G914" i="5"/>
  <c r="I914" i="5" s="1"/>
  <c r="G904" i="5"/>
  <c r="I904" i="5" s="1"/>
  <c r="G933" i="5"/>
  <c r="I933" i="5" s="1"/>
  <c r="G883" i="5"/>
  <c r="I883" i="5" s="1"/>
  <c r="G875" i="5"/>
  <c r="I875" i="5" s="1"/>
  <c r="G871" i="5"/>
  <c r="I871" i="5" s="1"/>
  <c r="G867" i="5"/>
  <c r="I867" i="5" s="1"/>
  <c r="G863" i="5"/>
  <c r="I863" i="5" s="1"/>
  <c r="G840" i="5"/>
  <c r="I840" i="5" s="1"/>
  <c r="G833" i="5"/>
  <c r="I833" i="5" s="1"/>
  <c r="G784" i="5"/>
  <c r="I784" i="5" s="1"/>
  <c r="G743" i="5"/>
  <c r="I743" i="5" s="1"/>
  <c r="G736" i="5"/>
  <c r="I736" i="5" s="1"/>
  <c r="G751" i="5"/>
  <c r="I751" i="5" s="1"/>
  <c r="G702" i="5"/>
  <c r="I702" i="5" s="1"/>
  <c r="G690" i="5"/>
  <c r="I690" i="5" s="1"/>
  <c r="G686" i="5"/>
  <c r="I686" i="5" s="1"/>
  <c r="G481" i="5"/>
  <c r="I481" i="5" s="1"/>
  <c r="G470" i="5"/>
  <c r="G466" i="5"/>
  <c r="I466" i="5" s="1"/>
  <c r="G443" i="5"/>
  <c r="I443" i="5" s="1"/>
  <c r="G420" i="5"/>
  <c r="I420" i="5" s="1"/>
  <c r="G324" i="5"/>
  <c r="I324" i="5" s="1"/>
  <c r="G257" i="5"/>
  <c r="I257" i="5" s="1"/>
  <c r="G304" i="5"/>
  <c r="I304" i="5" s="1"/>
  <c r="G275" i="5"/>
  <c r="I275" i="5" s="1"/>
  <c r="G243" i="5"/>
  <c r="I243" i="5" s="1"/>
  <c r="G76" i="5"/>
  <c r="G60" i="5"/>
  <c r="I60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243" i="4"/>
  <c r="I1243" i="4" s="1"/>
  <c r="G1240" i="4"/>
  <c r="I1240" i="4" s="1"/>
  <c r="G1229" i="4"/>
  <c r="I1229" i="4" s="1"/>
  <c r="G1226" i="4"/>
  <c r="I1226" i="4" s="1"/>
  <c r="G1211" i="4"/>
  <c r="I1211" i="4" s="1"/>
  <c r="G1195" i="4"/>
  <c r="I1195" i="4" s="1"/>
  <c r="G1190" i="4"/>
  <c r="I1190" i="4" s="1"/>
  <c r="G1184" i="4"/>
  <c r="G1167" i="4"/>
  <c r="I1167" i="4" s="1"/>
  <c r="G1162" i="4"/>
  <c r="I1162" i="4" s="1"/>
  <c r="G1160" i="4"/>
  <c r="I1160" i="4" s="1"/>
  <c r="G1134" i="4"/>
  <c r="I1134" i="4" s="1"/>
  <c r="G1127" i="4"/>
  <c r="I1127" i="4" s="1"/>
  <c r="G1124" i="4"/>
  <c r="I1124" i="4" s="1"/>
  <c r="G1119" i="4"/>
  <c r="I1119" i="4" s="1"/>
  <c r="G1130" i="4"/>
  <c r="I1130" i="4" s="1"/>
  <c r="G731" i="5"/>
  <c r="I731" i="5" s="1"/>
  <c r="G1114" i="4"/>
  <c r="G718" i="5"/>
  <c r="I718" i="5" s="1"/>
  <c r="G1083" i="4"/>
  <c r="I1083" i="4" s="1"/>
  <c r="G1079" i="4"/>
  <c r="I1079" i="4" s="1"/>
  <c r="G1075" i="4"/>
  <c r="I1075" i="4" s="1"/>
  <c r="G1051" i="4"/>
  <c r="G1049" i="4"/>
  <c r="G1046" i="4"/>
  <c r="I1046" i="4" s="1"/>
  <c r="G1043" i="4"/>
  <c r="G1041" i="4"/>
  <c r="G1037" i="4"/>
  <c r="G1035" i="4"/>
  <c r="I1035" i="4" s="1"/>
  <c r="G882" i="15"/>
  <c r="H882" i="15" s="1"/>
  <c r="G997" i="4"/>
  <c r="I997" i="4" s="1"/>
  <c r="G984" i="4"/>
  <c r="I984" i="4" s="1"/>
  <c r="G964" i="4"/>
  <c r="I964" i="4" s="1"/>
  <c r="F170" i="3"/>
  <c r="H170" i="3" s="1"/>
  <c r="G946" i="4"/>
  <c r="I946" i="4" s="1"/>
  <c r="G931" i="4"/>
  <c r="I931" i="4" s="1"/>
  <c r="G902" i="4"/>
  <c r="I902" i="4" s="1"/>
  <c r="G895" i="4"/>
  <c r="I895" i="4" s="1"/>
  <c r="G892" i="4"/>
  <c r="I892" i="4" s="1"/>
  <c r="G462" i="5"/>
  <c r="I462" i="5" s="1"/>
  <c r="G451" i="5"/>
  <c r="I451" i="5" s="1"/>
  <c r="G864" i="4"/>
  <c r="I864" i="4" s="1"/>
  <c r="G843" i="4"/>
  <c r="I843" i="4" s="1"/>
  <c r="G826" i="4"/>
  <c r="I826" i="4" s="1"/>
  <c r="G813" i="4"/>
  <c r="I813" i="4" s="1"/>
  <c r="G806" i="4"/>
  <c r="I806" i="4" s="1"/>
  <c r="G787" i="4"/>
  <c r="I787" i="4" s="1"/>
  <c r="G782" i="4"/>
  <c r="I782" i="4" s="1"/>
  <c r="G753" i="4"/>
  <c r="I753" i="4" s="1"/>
  <c r="G288" i="5"/>
  <c r="I288" i="5" s="1"/>
  <c r="G731" i="4"/>
  <c r="I731" i="4" s="1"/>
  <c r="G637" i="15"/>
  <c r="G721" i="4"/>
  <c r="I721" i="4" s="1"/>
  <c r="G715" i="4"/>
  <c r="I715" i="4" s="1"/>
  <c r="G712" i="4"/>
  <c r="I712" i="4" s="1"/>
  <c r="G696" i="4"/>
  <c r="I696" i="4" s="1"/>
  <c r="G691" i="4"/>
  <c r="I691" i="4" s="1"/>
  <c r="G671" i="4"/>
  <c r="I671" i="4" s="1"/>
  <c r="G661" i="4"/>
  <c r="I661" i="4" s="1"/>
  <c r="G657" i="4"/>
  <c r="I657" i="4" s="1"/>
  <c r="G647" i="4"/>
  <c r="I647" i="4" s="1"/>
  <c r="G641" i="4"/>
  <c r="I641" i="4" s="1"/>
  <c r="G627" i="4"/>
  <c r="I627" i="4" s="1"/>
  <c r="G598" i="4"/>
  <c r="I598" i="4" s="1"/>
  <c r="G580" i="4"/>
  <c r="I580" i="4" s="1"/>
  <c r="G573" i="4"/>
  <c r="I573" i="4" s="1"/>
  <c r="G526" i="4"/>
  <c r="I526" i="4" s="1"/>
  <c r="G139" i="5"/>
  <c r="I139" i="5" s="1"/>
  <c r="G487" i="4"/>
  <c r="I487" i="4" s="1"/>
  <c r="G480" i="4"/>
  <c r="I480" i="4" s="1"/>
  <c r="G466" i="4"/>
  <c r="I466" i="4" s="1"/>
  <c r="G463" i="4"/>
  <c r="G461" i="4"/>
  <c r="I461" i="4" s="1"/>
  <c r="G455" i="4"/>
  <c r="I455" i="4" s="1"/>
  <c r="G450" i="4"/>
  <c r="I450" i="4" s="1"/>
  <c r="G433" i="4"/>
  <c r="I433" i="4" s="1"/>
  <c r="G429" i="4"/>
  <c r="I429" i="4" s="1"/>
  <c r="G422" i="4"/>
  <c r="I422" i="4" s="1"/>
  <c r="G418" i="4"/>
  <c r="I418" i="4" s="1"/>
  <c r="F873" i="3"/>
  <c r="H873" i="3" s="1"/>
  <c r="G48" i="5"/>
  <c r="I48" i="5" s="1"/>
  <c r="G366" i="4"/>
  <c r="I366" i="4" s="1"/>
  <c r="G343" i="4"/>
  <c r="I343" i="4" s="1"/>
  <c r="G340" i="4"/>
  <c r="I340" i="4" s="1"/>
  <c r="G337" i="4"/>
  <c r="I337" i="4" s="1"/>
  <c r="G312" i="4"/>
  <c r="I312" i="4" s="1"/>
  <c r="G308" i="4"/>
  <c r="I308" i="4" s="1"/>
  <c r="G304" i="4"/>
  <c r="I304" i="4" s="1"/>
  <c r="G291" i="4"/>
  <c r="I291" i="4" s="1"/>
  <c r="G286" i="4"/>
  <c r="I286" i="4" s="1"/>
  <c r="G283" i="4"/>
  <c r="I283" i="4" s="1"/>
  <c r="G280" i="4"/>
  <c r="I280" i="4" s="1"/>
  <c r="G277" i="4"/>
  <c r="I277" i="4" s="1"/>
  <c r="G274" i="4"/>
  <c r="I274" i="4" s="1"/>
  <c r="F879" i="14"/>
  <c r="F878" i="14" s="1"/>
  <c r="F875" i="14" s="1"/>
  <c r="G249" i="4"/>
  <c r="I249" i="4" s="1"/>
  <c r="G243" i="4"/>
  <c r="I243" i="4" s="1"/>
  <c r="G223" i="4"/>
  <c r="I223" i="4" s="1"/>
  <c r="G219" i="4"/>
  <c r="I219" i="4" s="1"/>
  <c r="G199" i="4"/>
  <c r="I199" i="4" s="1"/>
  <c r="G180" i="4"/>
  <c r="I180" i="4" s="1"/>
  <c r="G173" i="4"/>
  <c r="I173" i="4" s="1"/>
  <c r="G168" i="4"/>
  <c r="I168" i="4" s="1"/>
  <c r="G163" i="4"/>
  <c r="I163" i="4" s="1"/>
  <c r="G159" i="4"/>
  <c r="I159" i="4" s="1"/>
  <c r="G408" i="5"/>
  <c r="I408" i="5" s="1"/>
  <c r="G151" i="4"/>
  <c r="G125" i="4"/>
  <c r="I125" i="4" s="1"/>
  <c r="G122" i="4"/>
  <c r="I122" i="4" s="1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77" i="4"/>
  <c r="G70" i="4"/>
  <c r="I70" i="4" s="1"/>
  <c r="G62" i="4"/>
  <c r="I62" i="4" s="1"/>
  <c r="G58" i="4"/>
  <c r="I58" i="4" s="1"/>
  <c r="G22" i="4"/>
  <c r="I22" i="4" s="1"/>
  <c r="G19" i="4"/>
  <c r="I19" i="4" s="1"/>
  <c r="G17" i="4"/>
  <c r="I17" i="4" s="1"/>
  <c r="G15" i="4"/>
  <c r="I15" i="4" s="1"/>
  <c r="F1069" i="3"/>
  <c r="H1069" i="3" s="1"/>
  <c r="F1039" i="3"/>
  <c r="H1039" i="3" s="1"/>
  <c r="F1033" i="3"/>
  <c r="H1033" i="3" s="1"/>
  <c r="F1030" i="3"/>
  <c r="H1030" i="3" s="1"/>
  <c r="F1011" i="3"/>
  <c r="H1011" i="3" s="1"/>
  <c r="F994" i="3"/>
  <c r="F936" i="3"/>
  <c r="H936" i="3" s="1"/>
  <c r="F924" i="3"/>
  <c r="H924" i="3" s="1"/>
  <c r="F910" i="3"/>
  <c r="H910" i="3" s="1"/>
  <c r="F887" i="3"/>
  <c r="H887" i="3" s="1"/>
  <c r="F881" i="3"/>
  <c r="H881" i="3" s="1"/>
  <c r="F864" i="3"/>
  <c r="H864" i="3" s="1"/>
  <c r="F702" i="3"/>
  <c r="H702" i="3" s="1"/>
  <c r="F697" i="3"/>
  <c r="H697" i="3" s="1"/>
  <c r="F653" i="3"/>
  <c r="H653" i="3" s="1"/>
  <c r="F630" i="3"/>
  <c r="H630" i="3" s="1"/>
  <c r="F627" i="3"/>
  <c r="H627" i="3" s="1"/>
  <c r="F610" i="3"/>
  <c r="H610" i="3" s="1"/>
  <c r="F606" i="3"/>
  <c r="H606" i="3" s="1"/>
  <c r="F589" i="3"/>
  <c r="H589" i="3" s="1"/>
  <c r="F579" i="3"/>
  <c r="H579" i="3" s="1"/>
  <c r="F575" i="3"/>
  <c r="H575" i="3" s="1"/>
  <c r="F559" i="3"/>
  <c r="H559" i="3" s="1"/>
  <c r="F532" i="3"/>
  <c r="H532" i="3" s="1"/>
  <c r="F506" i="3"/>
  <c r="H506" i="3" s="1"/>
  <c r="F472" i="3"/>
  <c r="H472" i="3" s="1"/>
  <c r="F469" i="3"/>
  <c r="H469" i="3" s="1"/>
  <c r="F464" i="3"/>
  <c r="H464" i="3" s="1"/>
  <c r="F398" i="3"/>
  <c r="H398" i="3" s="1"/>
  <c r="F381" i="3"/>
  <c r="F356" i="3"/>
  <c r="H356" i="3" s="1"/>
  <c r="F249" i="3"/>
  <c r="H249" i="3" s="1"/>
  <c r="F245" i="3"/>
  <c r="H245" i="3" s="1"/>
  <c r="F235" i="3"/>
  <c r="H235" i="3" s="1"/>
  <c r="F231" i="3"/>
  <c r="H231" i="3" s="1"/>
  <c r="F219" i="3"/>
  <c r="H219" i="3" s="1"/>
  <c r="F216" i="3"/>
  <c r="H216" i="3" s="1"/>
  <c r="F213" i="3"/>
  <c r="H213" i="3" s="1"/>
  <c r="F129" i="3"/>
  <c r="H129" i="3" s="1"/>
  <c r="F126" i="3"/>
  <c r="H126" i="3" s="1"/>
  <c r="F56" i="3"/>
  <c r="H56" i="3" s="1"/>
  <c r="F40" i="3"/>
  <c r="H40" i="3" s="1"/>
  <c r="F340" i="14" l="1"/>
  <c r="G340" i="14" s="1"/>
  <c r="H381" i="3"/>
  <c r="F993" i="3"/>
  <c r="H993" i="3" s="1"/>
  <c r="H994" i="3"/>
  <c r="G417" i="15"/>
  <c r="H417" i="15" s="1"/>
  <c r="I463" i="4"/>
  <c r="G900" i="15"/>
  <c r="H900" i="15" s="1"/>
  <c r="I1037" i="4"/>
  <c r="G906" i="15"/>
  <c r="H906" i="15" s="1"/>
  <c r="I1043" i="4"/>
  <c r="G912" i="15"/>
  <c r="H912" i="15" s="1"/>
  <c r="I1049" i="4"/>
  <c r="G973" i="15"/>
  <c r="I1114" i="4"/>
  <c r="G1183" i="4"/>
  <c r="I1183" i="4" s="1"/>
  <c r="I1184" i="4"/>
  <c r="G471" i="5"/>
  <c r="I471" i="5" s="1"/>
  <c r="I470" i="5"/>
  <c r="G42" i="6"/>
  <c r="I43" i="6"/>
  <c r="G76" i="4"/>
  <c r="I76" i="4" s="1"/>
  <c r="I77" i="4"/>
  <c r="G150" i="4"/>
  <c r="I150" i="4" s="1"/>
  <c r="I151" i="4"/>
  <c r="H904" i="15"/>
  <c r="I1041" i="4"/>
  <c r="G914" i="15"/>
  <c r="H914" i="15" s="1"/>
  <c r="I1051" i="4"/>
  <c r="G75" i="5"/>
  <c r="I75" i="5" s="1"/>
  <c r="I76" i="5"/>
  <c r="G1288" i="4"/>
  <c r="I97" i="4"/>
  <c r="I1288" i="4" s="1"/>
  <c r="G375" i="10"/>
  <c r="G374" i="10" s="1"/>
  <c r="G51" i="10"/>
  <c r="G50" i="10" s="1"/>
  <c r="G49" i="10" s="1"/>
  <c r="G48" i="10" s="1"/>
  <c r="G116" i="10"/>
  <c r="G98" i="10" s="1"/>
  <c r="G485" i="10"/>
  <c r="G479" i="10" s="1"/>
  <c r="G478" i="10" s="1"/>
  <c r="G477" i="10" s="1"/>
  <c r="G650" i="10"/>
  <c r="G646" i="10" s="1"/>
  <c r="G310" i="10"/>
  <c r="G306" i="10" s="1"/>
  <c r="G344" i="10"/>
  <c r="G408" i="10"/>
  <c r="G407" i="10" s="1"/>
  <c r="G838" i="10"/>
  <c r="G837" i="10" s="1"/>
  <c r="G147" i="10"/>
  <c r="G982" i="10" s="1"/>
  <c r="G169" i="10"/>
  <c r="G162" i="10" s="1"/>
  <c r="G161" i="10" s="1"/>
  <c r="G160" i="10" s="1"/>
  <c r="G159" i="10" s="1"/>
  <c r="G983" i="10" s="1"/>
  <c r="G633" i="10"/>
  <c r="G1034" i="4"/>
  <c r="I1034" i="4" s="1"/>
  <c r="G792" i="10"/>
  <c r="G791" i="10" s="1"/>
  <c r="G786" i="10" s="1"/>
  <c r="G785" i="10" s="1"/>
  <c r="G161" i="11"/>
  <c r="G299" i="10"/>
  <c r="G280" i="10" s="1"/>
  <c r="G15" i="10"/>
  <c r="G14" i="10" s="1"/>
  <c r="G13" i="10" s="1"/>
  <c r="G12" i="10" s="1"/>
  <c r="G11" i="10" s="1"/>
  <c r="G10" i="10" s="1"/>
  <c r="G238" i="10"/>
  <c r="G237" i="10" s="1"/>
  <c r="G657" i="10"/>
  <c r="G656" i="10" s="1"/>
  <c r="G65" i="10"/>
  <c r="G61" i="10" s="1"/>
  <c r="G997" i="10" s="1"/>
  <c r="G391" i="10"/>
  <c r="G139" i="10"/>
  <c r="G215" i="10"/>
  <c r="G214" i="10" s="1"/>
  <c r="G213" i="10" s="1"/>
  <c r="G212" i="10" s="1"/>
  <c r="G623" i="10"/>
  <c r="G622" i="10" s="1"/>
  <c r="G801" i="10"/>
  <c r="G1005" i="10" s="1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186" i="10" s="1"/>
  <c r="G185" i="10" s="1"/>
  <c r="G184" i="10" s="1"/>
  <c r="G177" i="10" s="1"/>
  <c r="G339" i="10"/>
  <c r="G613" i="10"/>
  <c r="G612" i="10" s="1"/>
  <c r="G948" i="10"/>
  <c r="G947" i="10" s="1"/>
  <c r="G946" i="10" s="1"/>
  <c r="G945" i="10" s="1"/>
  <c r="F72" i="14"/>
  <c r="G220" i="16"/>
  <c r="G221" i="16" s="1"/>
  <c r="F501" i="14"/>
  <c r="G140" i="5"/>
  <c r="I140" i="5" s="1"/>
  <c r="G138" i="5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F457" i="14" s="1"/>
  <c r="G1019" i="15"/>
  <c r="G1018" i="15" s="1"/>
  <c r="H1077" i="15"/>
  <c r="G39" i="14" s="1"/>
  <c r="F38" i="14"/>
  <c r="F37" i="14" s="1"/>
  <c r="F31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H86" i="15"/>
  <c r="G85" i="15"/>
  <c r="H88" i="15"/>
  <c r="G87" i="15"/>
  <c r="H81" i="15"/>
  <c r="G80" i="15"/>
  <c r="H241" i="15"/>
  <c r="G240" i="15"/>
  <c r="G237" i="15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238" i="16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H973" i="15"/>
  <c r="H660" i="16" s="1"/>
  <c r="H661" i="16" s="1"/>
  <c r="G660" i="16"/>
  <c r="G86" i="14"/>
  <c r="F86" i="14"/>
  <c r="F85" i="14" s="1"/>
  <c r="G121" i="4"/>
  <c r="I121" i="4" s="1"/>
  <c r="G701" i="5"/>
  <c r="G167" i="4"/>
  <c r="G290" i="4"/>
  <c r="I290" i="4" s="1"/>
  <c r="G584" i="5"/>
  <c r="G312" i="15"/>
  <c r="G421" i="4"/>
  <c r="G449" i="4"/>
  <c r="I449" i="4" s="1"/>
  <c r="G465" i="4"/>
  <c r="I465" i="4" s="1"/>
  <c r="G781" i="4"/>
  <c r="I781" i="4" s="1"/>
  <c r="G825" i="4"/>
  <c r="I825" i="4" s="1"/>
  <c r="F412" i="3"/>
  <c r="G931" i="15"/>
  <c r="G1194" i="4"/>
  <c r="I1194" i="4" s="1"/>
  <c r="G172" i="4"/>
  <c r="G279" i="4"/>
  <c r="I279" i="4" s="1"/>
  <c r="G311" i="4"/>
  <c r="G287" i="15"/>
  <c r="H287" i="15" s="1"/>
  <c r="G695" i="4"/>
  <c r="I695" i="4" s="1"/>
  <c r="G311" i="5"/>
  <c r="I311" i="5" s="1"/>
  <c r="G786" i="4"/>
  <c r="I786" i="4" s="1"/>
  <c r="F848" i="3"/>
  <c r="H848" i="3" s="1"/>
  <c r="G945" i="4"/>
  <c r="I945" i="4" s="1"/>
  <c r="F172" i="3"/>
  <c r="G21" i="4"/>
  <c r="I21" i="4" s="1"/>
  <c r="G67" i="4"/>
  <c r="I67" i="4" s="1"/>
  <c r="F193" i="3"/>
  <c r="H193" i="3" s="1"/>
  <c r="G158" i="4"/>
  <c r="I158" i="4" s="1"/>
  <c r="G198" i="4"/>
  <c r="I198" i="4" s="1"/>
  <c r="G248" i="4"/>
  <c r="G282" i="4"/>
  <c r="G260" i="15"/>
  <c r="H260" i="15" s="1"/>
  <c r="G336" i="4"/>
  <c r="I336" i="4" s="1"/>
  <c r="G627" i="5"/>
  <c r="G525" i="4"/>
  <c r="G575" i="4"/>
  <c r="I575" i="4" s="1"/>
  <c r="G496" i="15"/>
  <c r="G597" i="4"/>
  <c r="G514" i="15"/>
  <c r="H514" i="15" s="1"/>
  <c r="G656" i="4"/>
  <c r="I656" i="4" s="1"/>
  <c r="G670" i="4"/>
  <c r="F709" i="3"/>
  <c r="H709" i="3" s="1"/>
  <c r="G812" i="4"/>
  <c r="I812" i="4" s="1"/>
  <c r="G709" i="15"/>
  <c r="H709" i="15" s="1"/>
  <c r="G863" i="4"/>
  <c r="I863" i="4" s="1"/>
  <c r="G891" i="4"/>
  <c r="I891" i="4" s="1"/>
  <c r="F1048" i="3"/>
  <c r="H1048" i="3" s="1"/>
  <c r="F1093" i="3"/>
  <c r="G996" i="4"/>
  <c r="I996" i="4" s="1"/>
  <c r="G1074" i="4"/>
  <c r="I1074" i="4" s="1"/>
  <c r="H938" i="15"/>
  <c r="G1118" i="4"/>
  <c r="I1118" i="4" s="1"/>
  <c r="G1133" i="4"/>
  <c r="I1133" i="4" s="1"/>
  <c r="G993" i="15"/>
  <c r="H993" i="15" s="1"/>
  <c r="F13" i="3"/>
  <c r="H13" i="3" s="1"/>
  <c r="G1242" i="4"/>
  <c r="I1242" i="4" s="1"/>
  <c r="G276" i="4"/>
  <c r="I276" i="4" s="1"/>
  <c r="G365" i="4"/>
  <c r="I365" i="4" s="1"/>
  <c r="G432" i="4"/>
  <c r="G579" i="4"/>
  <c r="I579" i="4" s="1"/>
  <c r="G690" i="4"/>
  <c r="I690" i="4" s="1"/>
  <c r="G711" i="4"/>
  <c r="I711" i="4" s="1"/>
  <c r="G228" i="5"/>
  <c r="G901" i="4"/>
  <c r="H784" i="15"/>
  <c r="G1082" i="4"/>
  <c r="I1082" i="4" s="1"/>
  <c r="H946" i="15"/>
  <c r="G64" i="4"/>
  <c r="I64" i="4" s="1"/>
  <c r="G124" i="4"/>
  <c r="I124" i="4" s="1"/>
  <c r="G222" i="4"/>
  <c r="I222" i="4" s="1"/>
  <c r="G242" i="4"/>
  <c r="I242" i="4" s="1"/>
  <c r="G303" i="4"/>
  <c r="I303" i="4" s="1"/>
  <c r="G279" i="15"/>
  <c r="H279" i="15" s="1"/>
  <c r="G623" i="5"/>
  <c r="G454" i="4"/>
  <c r="I454" i="4" s="1"/>
  <c r="G640" i="4"/>
  <c r="I640" i="4" s="1"/>
  <c r="F586" i="3"/>
  <c r="H586" i="3" s="1"/>
  <c r="G714" i="4"/>
  <c r="I714" i="4" s="1"/>
  <c r="G842" i="4"/>
  <c r="I842" i="4" s="1"/>
  <c r="G930" i="4"/>
  <c r="I930" i="4" s="1"/>
  <c r="G1126" i="4"/>
  <c r="G986" i="15"/>
  <c r="H1022" i="15"/>
  <c r="G1210" i="4"/>
  <c r="I1210" i="4" s="1"/>
  <c r="G69" i="4"/>
  <c r="I69" i="4" s="1"/>
  <c r="F195" i="3"/>
  <c r="H195" i="3" s="1"/>
  <c r="G162" i="4"/>
  <c r="I162" i="4" s="1"/>
  <c r="G218" i="4"/>
  <c r="F325" i="3"/>
  <c r="H210" i="15"/>
  <c r="G273" i="4"/>
  <c r="I273" i="4" s="1"/>
  <c r="G254" i="15"/>
  <c r="G285" i="4"/>
  <c r="I285" i="4" s="1"/>
  <c r="G307" i="4"/>
  <c r="I307" i="4" s="1"/>
  <c r="G619" i="5"/>
  <c r="I619" i="5" s="1"/>
  <c r="G417" i="4"/>
  <c r="I417" i="4" s="1"/>
  <c r="G428" i="4"/>
  <c r="I428" i="4" s="1"/>
  <c r="G486" i="4"/>
  <c r="I486" i="4" s="1"/>
  <c r="G33" i="6"/>
  <c r="G577" i="4"/>
  <c r="I577" i="4" s="1"/>
  <c r="F241" i="3"/>
  <c r="H241" i="3" s="1"/>
  <c r="G545" i="15"/>
  <c r="H545" i="15" s="1"/>
  <c r="G546" i="15"/>
  <c r="H546" i="15" s="1"/>
  <c r="G646" i="4"/>
  <c r="I646" i="4" s="1"/>
  <c r="G660" i="4"/>
  <c r="I660" i="4" s="1"/>
  <c r="G580" i="15"/>
  <c r="H580" i="15" s="1"/>
  <c r="G720" i="4"/>
  <c r="I720" i="4" s="1"/>
  <c r="G730" i="4"/>
  <c r="H642" i="15"/>
  <c r="F665" i="3"/>
  <c r="H665" i="3" s="1"/>
  <c r="G752" i="4"/>
  <c r="G805" i="4"/>
  <c r="I805" i="4" s="1"/>
  <c r="G894" i="4"/>
  <c r="I894" i="4" s="1"/>
  <c r="F1080" i="3"/>
  <c r="H1080" i="3" s="1"/>
  <c r="G963" i="4"/>
  <c r="I963" i="4" s="1"/>
  <c r="F319" i="3"/>
  <c r="G873" i="15"/>
  <c r="G1045" i="4"/>
  <c r="G909" i="15"/>
  <c r="H909" i="15" s="1"/>
  <c r="G1078" i="4"/>
  <c r="I1078" i="4" s="1"/>
  <c r="G942" i="15"/>
  <c r="H942" i="15" s="1"/>
  <c r="G740" i="5"/>
  <c r="I740" i="5" s="1"/>
  <c r="G952" i="5"/>
  <c r="G1166" i="4"/>
  <c r="I1166" i="4" s="1"/>
  <c r="G1228" i="4"/>
  <c r="I1228" i="4" s="1"/>
  <c r="H1081" i="15"/>
  <c r="G1129" i="4"/>
  <c r="I1129" i="4" s="1"/>
  <c r="G983" i="4"/>
  <c r="I983" i="4" s="1"/>
  <c r="G626" i="4"/>
  <c r="I626" i="4" s="1"/>
  <c r="G179" i="4"/>
  <c r="I179" i="4" s="1"/>
  <c r="G170" i="15"/>
  <c r="H170" i="15" s="1"/>
  <c r="G974" i="5"/>
  <c r="I974" i="5" s="1"/>
  <c r="G832" i="5"/>
  <c r="I832" i="5" s="1"/>
  <c r="G407" i="5"/>
  <c r="I407" i="5" s="1"/>
  <c r="G689" i="5"/>
  <c r="I689" i="5" s="1"/>
  <c r="G839" i="5"/>
  <c r="I839" i="5" s="1"/>
  <c r="G864" i="5"/>
  <c r="I864" i="5" s="1"/>
  <c r="G323" i="5"/>
  <c r="G59" i="5"/>
  <c r="I59" i="5" s="1"/>
  <c r="G18" i="6"/>
  <c r="F55" i="3"/>
  <c r="H55" i="3" s="1"/>
  <c r="F463" i="3"/>
  <c r="H463" i="3" s="1"/>
  <c r="F588" i="3"/>
  <c r="F652" i="3"/>
  <c r="H652" i="3" s="1"/>
  <c r="F880" i="3"/>
  <c r="F234" i="3"/>
  <c r="H234" i="3" s="1"/>
  <c r="F468" i="3"/>
  <c r="H468" i="3" s="1"/>
  <c r="F696" i="3"/>
  <c r="H696" i="3" s="1"/>
  <c r="F169" i="3"/>
  <c r="H169" i="3" s="1"/>
  <c r="F15" i="3"/>
  <c r="H15" i="3" s="1"/>
  <c r="F128" i="3"/>
  <c r="H128" i="3" s="1"/>
  <c r="F222" i="3"/>
  <c r="H222" i="3" s="1"/>
  <c r="F244" i="3"/>
  <c r="H244" i="3" s="1"/>
  <c r="F397" i="3"/>
  <c r="H397" i="3" s="1"/>
  <c r="F357" i="14"/>
  <c r="G357" i="14" s="1"/>
  <c r="F574" i="3"/>
  <c r="H574" i="3" s="1"/>
  <c r="F605" i="3"/>
  <c r="H605" i="3" s="1"/>
  <c r="F626" i="3"/>
  <c r="H626" i="3" s="1"/>
  <c r="F701" i="3"/>
  <c r="H701" i="3" s="1"/>
  <c r="F923" i="3"/>
  <c r="H923" i="3" s="1"/>
  <c r="F1010" i="3"/>
  <c r="H1010" i="3" s="1"/>
  <c r="F1068" i="3"/>
  <c r="H1068" i="3" s="1"/>
  <c r="F230" i="3"/>
  <c r="H230" i="3" s="1"/>
  <c r="G202" i="14"/>
  <c r="G201" i="14" s="1"/>
  <c r="G200" i="14" s="1"/>
  <c r="F1032" i="3"/>
  <c r="H1032" i="3" s="1"/>
  <c r="F558" i="3"/>
  <c r="H558" i="3" s="1"/>
  <c r="F886" i="3"/>
  <c r="H886" i="3" s="1"/>
  <c r="F859" i="14"/>
  <c r="F39" i="3"/>
  <c r="H39" i="3" s="1"/>
  <c r="F225" i="3"/>
  <c r="H225" i="3" s="1"/>
  <c r="F248" i="3"/>
  <c r="H248" i="3" s="1"/>
  <c r="G219" i="14"/>
  <c r="G218" i="14" s="1"/>
  <c r="F578" i="3"/>
  <c r="H578" i="3" s="1"/>
  <c r="F609" i="3"/>
  <c r="H609" i="3" s="1"/>
  <c r="F629" i="3"/>
  <c r="H629" i="3" s="1"/>
  <c r="F1029" i="3"/>
  <c r="H1029" i="3" s="1"/>
  <c r="F93" i="3"/>
  <c r="H93" i="3" s="1"/>
  <c r="F471" i="3"/>
  <c r="H471" i="3" s="1"/>
  <c r="G747" i="5"/>
  <c r="I747" i="5" s="1"/>
  <c r="G932" i="5"/>
  <c r="I932" i="5" s="1"/>
  <c r="G934" i="5"/>
  <c r="I934" i="5" s="1"/>
  <c r="G913" i="5"/>
  <c r="I913" i="5" s="1"/>
  <c r="G915" i="5"/>
  <c r="I915" i="5" s="1"/>
  <c r="G903" i="5"/>
  <c r="I903" i="5" s="1"/>
  <c r="G905" i="5"/>
  <c r="I905" i="5" s="1"/>
  <c r="G907" i="5"/>
  <c r="I907" i="5" s="1"/>
  <c r="G909" i="5"/>
  <c r="I909" i="5" s="1"/>
  <c r="G898" i="5"/>
  <c r="I898" i="5" s="1"/>
  <c r="G900" i="5"/>
  <c r="I900" i="5" s="1"/>
  <c r="G893" i="5"/>
  <c r="I893" i="5" s="1"/>
  <c r="G895" i="5"/>
  <c r="I895" i="5" s="1"/>
  <c r="G882" i="5"/>
  <c r="I882" i="5" s="1"/>
  <c r="G884" i="5"/>
  <c r="I884" i="5" s="1"/>
  <c r="G870" i="5"/>
  <c r="I870" i="5" s="1"/>
  <c r="G872" i="5"/>
  <c r="I872" i="5" s="1"/>
  <c r="G855" i="5"/>
  <c r="I855" i="5" s="1"/>
  <c r="G866" i="5"/>
  <c r="I866" i="5" s="1"/>
  <c r="G868" i="5"/>
  <c r="I868" i="5" s="1"/>
  <c r="G874" i="5"/>
  <c r="I874" i="5" s="1"/>
  <c r="G876" i="5"/>
  <c r="I876" i="5" s="1"/>
  <c r="G862" i="5"/>
  <c r="I862" i="5" s="1"/>
  <c r="G826" i="5"/>
  <c r="I826" i="5" s="1"/>
  <c r="G783" i="5"/>
  <c r="I783" i="5" s="1"/>
  <c r="G785" i="5"/>
  <c r="I785" i="5" s="1"/>
  <c r="G750" i="5"/>
  <c r="I750" i="5" s="1"/>
  <c r="G752" i="5"/>
  <c r="I752" i="5" s="1"/>
  <c r="G735" i="5"/>
  <c r="I735" i="5" s="1"/>
  <c r="G737" i="5"/>
  <c r="I737" i="5" s="1"/>
  <c r="G742" i="5"/>
  <c r="I742" i="5" s="1"/>
  <c r="G744" i="5"/>
  <c r="I744" i="5" s="1"/>
  <c r="G717" i="5"/>
  <c r="I717" i="5" s="1"/>
  <c r="G719" i="5"/>
  <c r="I719" i="5" s="1"/>
  <c r="G730" i="5"/>
  <c r="I730" i="5" s="1"/>
  <c r="G685" i="5"/>
  <c r="I685" i="5" s="1"/>
  <c r="G687" i="5"/>
  <c r="I687" i="5" s="1"/>
  <c r="G480" i="5"/>
  <c r="I480" i="5" s="1"/>
  <c r="G482" i="5"/>
  <c r="I482" i="5" s="1"/>
  <c r="G469" i="5"/>
  <c r="I469" i="5" s="1"/>
  <c r="G461" i="5"/>
  <c r="I461" i="5" s="1"/>
  <c r="G463" i="5"/>
  <c r="I463" i="5" s="1"/>
  <c r="G465" i="5"/>
  <c r="I465" i="5" s="1"/>
  <c r="G467" i="5"/>
  <c r="I467" i="5" s="1"/>
  <c r="G450" i="5"/>
  <c r="I450" i="5" s="1"/>
  <c r="G452" i="5"/>
  <c r="I452" i="5" s="1"/>
  <c r="G442" i="5"/>
  <c r="I442" i="5" s="1"/>
  <c r="G444" i="5"/>
  <c r="I444" i="5" s="1"/>
  <c r="G287" i="5"/>
  <c r="I287" i="5" s="1"/>
  <c r="G289" i="5"/>
  <c r="I289" i="5" s="1"/>
  <c r="G256" i="5"/>
  <c r="I256" i="5" s="1"/>
  <c r="G258" i="5"/>
  <c r="I258" i="5" s="1"/>
  <c r="G303" i="5"/>
  <c r="I303" i="5" s="1"/>
  <c r="G305" i="5"/>
  <c r="I305" i="5" s="1"/>
  <c r="G274" i="5"/>
  <c r="I274" i="5" s="1"/>
  <c r="G276" i="5"/>
  <c r="I276" i="5" s="1"/>
  <c r="G242" i="5"/>
  <c r="I242" i="5" s="1"/>
  <c r="G244" i="5"/>
  <c r="I244" i="5" s="1"/>
  <c r="G57" i="5"/>
  <c r="I57" i="5" s="1"/>
  <c r="G943" i="4"/>
  <c r="I943" i="4" s="1"/>
  <c r="F1082" i="3"/>
  <c r="H1082" i="3" s="1"/>
  <c r="G485" i="5"/>
  <c r="I485" i="5" s="1"/>
  <c r="F1044" i="3"/>
  <c r="H1044" i="3" s="1"/>
  <c r="G939" i="4"/>
  <c r="I939" i="4" s="1"/>
  <c r="F1078" i="3"/>
  <c r="H1078" i="3" s="1"/>
  <c r="G928" i="4"/>
  <c r="I928" i="4" s="1"/>
  <c r="F1067" i="3"/>
  <c r="H1067" i="3" s="1"/>
  <c r="G920" i="5"/>
  <c r="I920" i="5" s="1"/>
  <c r="F1061" i="3"/>
  <c r="H1061" i="3" s="1"/>
  <c r="G502" i="5"/>
  <c r="F1095" i="3"/>
  <c r="H1095" i="3" s="1"/>
  <c r="F1007" i="3"/>
  <c r="H1007" i="3" s="1"/>
  <c r="F942" i="3"/>
  <c r="H942" i="3" s="1"/>
  <c r="F974" i="3"/>
  <c r="H974" i="3" s="1"/>
  <c r="F955" i="3"/>
  <c r="H955" i="3" s="1"/>
  <c r="G37" i="6"/>
  <c r="F1009" i="3"/>
  <c r="H1009" i="3" s="1"/>
  <c r="G350" i="4"/>
  <c r="I350" i="4" s="1"/>
  <c r="F769" i="3"/>
  <c r="H769" i="3" s="1"/>
  <c r="F761" i="3"/>
  <c r="H761" i="3" s="1"/>
  <c r="G353" i="4"/>
  <c r="I353" i="4" s="1"/>
  <c r="F772" i="3"/>
  <c r="H772" i="3" s="1"/>
  <c r="G356" i="4"/>
  <c r="I356" i="4" s="1"/>
  <c r="F775" i="3"/>
  <c r="H775" i="3" s="1"/>
  <c r="F802" i="3"/>
  <c r="H802" i="3" s="1"/>
  <c r="F859" i="3"/>
  <c r="G832" i="4"/>
  <c r="I832" i="4" s="1"/>
  <c r="F816" i="3"/>
  <c r="H816" i="3" s="1"/>
  <c r="G859" i="4"/>
  <c r="I859" i="4" s="1"/>
  <c r="F846" i="3"/>
  <c r="H846" i="3" s="1"/>
  <c r="G638" i="4"/>
  <c r="I638" i="4" s="1"/>
  <c r="F557" i="3"/>
  <c r="H557" i="3" s="1"/>
  <c r="G279" i="5"/>
  <c r="I279" i="5" s="1"/>
  <c r="F583" i="3"/>
  <c r="H583" i="3" s="1"/>
  <c r="G249" i="5"/>
  <c r="I249" i="5" s="1"/>
  <c r="F641" i="3"/>
  <c r="H641" i="3" s="1"/>
  <c r="F661" i="3"/>
  <c r="G803" i="4"/>
  <c r="I803" i="4" s="1"/>
  <c r="F719" i="3"/>
  <c r="H719" i="3" s="1"/>
  <c r="G235" i="5"/>
  <c r="I235" i="5" s="1"/>
  <c r="F570" i="3"/>
  <c r="H570" i="3" s="1"/>
  <c r="G718" i="4"/>
  <c r="I718" i="4" s="1"/>
  <c r="F634" i="3"/>
  <c r="H634" i="3" s="1"/>
  <c r="F644" i="3"/>
  <c r="H644" i="3" s="1"/>
  <c r="G292" i="5"/>
  <c r="I292" i="5" s="1"/>
  <c r="F657" i="3"/>
  <c r="H657" i="3" s="1"/>
  <c r="G853" i="4"/>
  <c r="F840" i="3"/>
  <c r="H840" i="3" s="1"/>
  <c r="G1164" i="4"/>
  <c r="F509" i="3"/>
  <c r="H509" i="3" s="1"/>
  <c r="G709" i="4"/>
  <c r="I709" i="4" s="1"/>
  <c r="F625" i="3"/>
  <c r="H625" i="3" s="1"/>
  <c r="G261" i="5"/>
  <c r="I261" i="5" s="1"/>
  <c r="F650" i="3"/>
  <c r="H650" i="3" s="1"/>
  <c r="G809" i="4"/>
  <c r="I809" i="4" s="1"/>
  <c r="F725" i="3"/>
  <c r="H725" i="3" s="1"/>
  <c r="G840" i="4"/>
  <c r="I840" i="4" s="1"/>
  <c r="F824" i="3"/>
  <c r="H824" i="3" s="1"/>
  <c r="G1174" i="4"/>
  <c r="I1174" i="4" s="1"/>
  <c r="F522" i="3"/>
  <c r="G644" i="4"/>
  <c r="I644" i="4" s="1"/>
  <c r="F563" i="3"/>
  <c r="H563" i="3" s="1"/>
  <c r="G297" i="5"/>
  <c r="I297" i="5" s="1"/>
  <c r="F733" i="3"/>
  <c r="H733" i="3" s="1"/>
  <c r="G838" i="4"/>
  <c r="I838" i="4" s="1"/>
  <c r="F822" i="3"/>
  <c r="H822" i="3" s="1"/>
  <c r="G857" i="4"/>
  <c r="I857" i="4" s="1"/>
  <c r="F844" i="3"/>
  <c r="H844" i="3" s="1"/>
  <c r="G1192" i="4"/>
  <c r="I1192" i="4" s="1"/>
  <c r="F535" i="3"/>
  <c r="H535" i="3" s="1"/>
  <c r="G196" i="4"/>
  <c r="I196" i="4" s="1"/>
  <c r="F274" i="3"/>
  <c r="H274" i="3" s="1"/>
  <c r="G593" i="4"/>
  <c r="F184" i="3"/>
  <c r="H184" i="3" s="1"/>
  <c r="F404" i="3"/>
  <c r="H404" i="3" s="1"/>
  <c r="F455" i="3"/>
  <c r="H455" i="3" s="1"/>
  <c r="F458" i="3"/>
  <c r="F275" i="3"/>
  <c r="H275" i="3" s="1"/>
  <c r="F268" i="3"/>
  <c r="H268" i="3" s="1"/>
  <c r="G1014" i="4"/>
  <c r="I1014" i="4" s="1"/>
  <c r="F359" i="3"/>
  <c r="H359" i="3" s="1"/>
  <c r="G610" i="4"/>
  <c r="I610" i="4" s="1"/>
  <c r="F362" i="3"/>
  <c r="H362" i="3" s="1"/>
  <c r="G1020" i="4"/>
  <c r="I1020" i="4" s="1"/>
  <c r="F365" i="3"/>
  <c r="H365" i="3" s="1"/>
  <c r="F408" i="3"/>
  <c r="F271" i="3"/>
  <c r="H271" i="3" s="1"/>
  <c r="F272" i="3"/>
  <c r="H272" i="3" s="1"/>
  <c r="G231" i="4"/>
  <c r="I231" i="4" s="1"/>
  <c r="F327" i="3"/>
  <c r="H327" i="3" s="1"/>
  <c r="F305" i="3"/>
  <c r="H305" i="3" s="1"/>
  <c r="F416" i="3"/>
  <c r="F207" i="3"/>
  <c r="H207" i="3" s="1"/>
  <c r="G83" i="4"/>
  <c r="I83" i="4" s="1"/>
  <c r="F77" i="3"/>
  <c r="H77" i="3" s="1"/>
  <c r="G85" i="4"/>
  <c r="I85" i="4" s="1"/>
  <c r="F79" i="3"/>
  <c r="H79" i="3" s="1"/>
  <c r="G93" i="4"/>
  <c r="I93" i="4" s="1"/>
  <c r="F87" i="3"/>
  <c r="H87" i="3" s="1"/>
  <c r="G88" i="4"/>
  <c r="I88" i="4" s="1"/>
  <c r="F82" i="3"/>
  <c r="H82" i="3" s="1"/>
  <c r="G90" i="4"/>
  <c r="I90" i="4" s="1"/>
  <c r="F84" i="3"/>
  <c r="H84" i="3" s="1"/>
  <c r="G1238" i="4"/>
  <c r="I1238" i="4" s="1"/>
  <c r="F116" i="3"/>
  <c r="H116" i="3" s="1"/>
  <c r="G95" i="4"/>
  <c r="I95" i="4" s="1"/>
  <c r="F89" i="3"/>
  <c r="H89" i="3" s="1"/>
  <c r="G257" i="4"/>
  <c r="I257" i="4" s="1"/>
  <c r="F720" i="3"/>
  <c r="H720" i="3" s="1"/>
  <c r="F61" i="3"/>
  <c r="H61" i="3" s="1"/>
  <c r="F379" i="3"/>
  <c r="G967" i="4"/>
  <c r="I967" i="4" s="1"/>
  <c r="G1071" i="4"/>
  <c r="I1071" i="4" s="1"/>
  <c r="G1116" i="4"/>
  <c r="I1116" i="4" s="1"/>
  <c r="G327" i="4"/>
  <c r="I327" i="4" s="1"/>
  <c r="G496" i="4"/>
  <c r="I496" i="4" s="1"/>
  <c r="G817" i="4"/>
  <c r="I817" i="4" s="1"/>
  <c r="F273" i="3"/>
  <c r="H273" i="3" s="1"/>
  <c r="G664" i="4"/>
  <c r="I664" i="4" s="1"/>
  <c r="F1020" i="3"/>
  <c r="H1020" i="3" s="1"/>
  <c r="G194" i="4"/>
  <c r="I194" i="4" s="1"/>
  <c r="G229" i="4"/>
  <c r="I229" i="4" s="1"/>
  <c r="G516" i="4"/>
  <c r="G725" i="4"/>
  <c r="I725" i="4" s="1"/>
  <c r="G991" i="4"/>
  <c r="I991" i="4" s="1"/>
  <c r="G460" i="4"/>
  <c r="I460" i="4" s="1"/>
  <c r="G323" i="4"/>
  <c r="I323" i="4" s="1"/>
  <c r="G1063" i="4"/>
  <c r="I1063" i="4" s="1"/>
  <c r="F495" i="3"/>
  <c r="H495" i="3" s="1"/>
  <c r="F1084" i="3"/>
  <c r="H1084" i="3" s="1"/>
  <c r="G255" i="4"/>
  <c r="I255" i="4" s="1"/>
  <c r="G266" i="4"/>
  <c r="I266" i="4" s="1"/>
  <c r="G342" i="4"/>
  <c r="I342" i="4" s="1"/>
  <c r="G520" i="4"/>
  <c r="I520" i="4" s="1"/>
  <c r="G861" i="4"/>
  <c r="I861" i="4" s="1"/>
  <c r="G905" i="4"/>
  <c r="I905" i="4" s="1"/>
  <c r="G969" i="4"/>
  <c r="I969" i="4" s="1"/>
  <c r="F460" i="3"/>
  <c r="H460" i="3" s="1"/>
  <c r="F1042" i="3"/>
  <c r="H1042" i="3" s="1"/>
  <c r="F467" i="3"/>
  <c r="H467" i="3" s="1"/>
  <c r="F504" i="3"/>
  <c r="G461" i="14"/>
  <c r="F1027" i="3"/>
  <c r="H1027" i="3" s="1"/>
  <c r="G190" i="4"/>
  <c r="I190" i="4" s="1"/>
  <c r="G478" i="4"/>
  <c r="I478" i="4" s="1"/>
  <c r="G484" i="4"/>
  <c r="I484" i="4" s="1"/>
  <c r="G734" i="4"/>
  <c r="I734" i="4" s="1"/>
  <c r="G741" i="4"/>
  <c r="I741" i="4" s="1"/>
  <c r="G882" i="4"/>
  <c r="I882" i="4" s="1"/>
  <c r="G889" i="4"/>
  <c r="I889" i="4" s="1"/>
  <c r="G1040" i="4"/>
  <c r="I1040" i="4" s="1"/>
  <c r="G1107" i="4"/>
  <c r="I1107" i="4" s="1"/>
  <c r="G50" i="5"/>
  <c r="I50" i="5" s="1"/>
  <c r="G382" i="4"/>
  <c r="G239" i="5"/>
  <c r="I239" i="5" s="1"/>
  <c r="G654" i="4"/>
  <c r="I654" i="4" s="1"/>
  <c r="F565" i="3"/>
  <c r="H565" i="3" s="1"/>
  <c r="G283" i="5"/>
  <c r="I283" i="5" s="1"/>
  <c r="F572" i="3"/>
  <c r="H572" i="3" s="1"/>
  <c r="G1029" i="4"/>
  <c r="G967" i="5"/>
  <c r="I967" i="5" s="1"/>
  <c r="G603" i="4"/>
  <c r="I603" i="4" s="1"/>
  <c r="G793" i="4"/>
  <c r="I793" i="4" s="1"/>
  <c r="F708" i="3"/>
  <c r="H708" i="3" s="1"/>
  <c r="G941" i="4"/>
  <c r="I941" i="4" s="1"/>
  <c r="G1017" i="4"/>
  <c r="I1017" i="4" s="1"/>
  <c r="F52" i="3"/>
  <c r="F58" i="3"/>
  <c r="H58" i="3" s="1"/>
  <c r="F645" i="3"/>
  <c r="H645" i="3" s="1"/>
  <c r="G14" i="4"/>
  <c r="I14" i="4" s="1"/>
  <c r="G547" i="5"/>
  <c r="I547" i="5" s="1"/>
  <c r="G403" i="4"/>
  <c r="I403" i="4" s="1"/>
  <c r="G70" i="5"/>
  <c r="I70" i="5" s="1"/>
  <c r="G509" i="4"/>
  <c r="I509" i="4" s="1"/>
  <c r="G152" i="5"/>
  <c r="I152" i="5" s="1"/>
  <c r="G634" i="4"/>
  <c r="I634" i="4" s="1"/>
  <c r="G667" i="4"/>
  <c r="I667" i="4" s="1"/>
  <c r="G28" i="5"/>
  <c r="I28" i="5" s="1"/>
  <c r="G146" i="4"/>
  <c r="I146" i="4" s="1"/>
  <c r="G728" i="4"/>
  <c r="I728" i="4" s="1"/>
  <c r="G253" i="5"/>
  <c r="I253" i="5" s="1"/>
  <c r="G749" i="4"/>
  <c r="I749" i="4" s="1"/>
  <c r="F636" i="3"/>
  <c r="H636" i="3" s="1"/>
  <c r="G414" i="4"/>
  <c r="I414" i="4" s="1"/>
  <c r="G909" i="4"/>
  <c r="I909" i="4" s="1"/>
  <c r="G1059" i="4"/>
  <c r="I1059" i="4" s="1"/>
  <c r="G1224" i="4"/>
  <c r="I1224" i="4" s="1"/>
  <c r="F38" i="3"/>
  <c r="H38" i="3" s="1"/>
  <c r="G1048" i="4"/>
  <c r="F452" i="3"/>
  <c r="H452" i="3" s="1"/>
  <c r="G148" i="4"/>
  <c r="I148" i="4" s="1"/>
  <c r="G380" i="4"/>
  <c r="I380" i="4" s="1"/>
  <c r="G550" i="5"/>
  <c r="I550" i="5" s="1"/>
  <c r="G405" i="4"/>
  <c r="I405" i="4" s="1"/>
  <c r="F875" i="3"/>
  <c r="H875" i="3" s="1"/>
  <c r="G373" i="4"/>
  <c r="I373" i="4" s="1"/>
  <c r="G60" i="4"/>
  <c r="I60" i="4" s="1"/>
  <c r="F54" i="3"/>
  <c r="H54" i="3" s="1"/>
  <c r="G423" i="5"/>
  <c r="G187" i="4"/>
  <c r="I187" i="4" s="1"/>
  <c r="F264" i="3"/>
  <c r="H264" i="3" s="1"/>
  <c r="G325" i="4"/>
  <c r="I325" i="4" s="1"/>
  <c r="G544" i="5"/>
  <c r="I544" i="5" s="1"/>
  <c r="G401" i="4"/>
  <c r="I401" i="4" s="1"/>
  <c r="F871" i="3"/>
  <c r="H871" i="3" s="1"/>
  <c r="G412" i="4"/>
  <c r="I412" i="4" s="1"/>
  <c r="G613" i="4"/>
  <c r="F617" i="3"/>
  <c r="H617" i="3" s="1"/>
  <c r="G268" i="5"/>
  <c r="I268" i="5" s="1"/>
  <c r="G499" i="5"/>
  <c r="I499" i="5" s="1"/>
  <c r="G954" i="4"/>
  <c r="I954" i="4" s="1"/>
  <c r="G651" i="4"/>
  <c r="I651" i="4" s="1"/>
  <c r="G702" i="4"/>
  <c r="I702" i="4" s="1"/>
  <c r="G738" i="4"/>
  <c r="I738" i="4" s="1"/>
  <c r="G25" i="5"/>
  <c r="I25" i="5" s="1"/>
  <c r="G1003" i="4"/>
  <c r="I1003" i="4" s="1"/>
  <c r="G1067" i="4"/>
  <c r="G1110" i="4"/>
  <c r="I1110" i="4" s="1"/>
  <c r="G722" i="5"/>
  <c r="I722" i="5" s="1"/>
  <c r="G922" i="4"/>
  <c r="I922" i="4" s="1"/>
  <c r="G956" i="4"/>
  <c r="I956" i="4" s="1"/>
  <c r="G1005" i="4"/>
  <c r="G1112" i="4"/>
  <c r="G1122" i="4"/>
  <c r="I1122" i="4" s="1"/>
  <c r="F945" i="3"/>
  <c r="H945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6" i="2"/>
  <c r="F918" i="3"/>
  <c r="H918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379" i="4" l="1"/>
  <c r="I382" i="4"/>
  <c r="G367" i="14"/>
  <c r="H408" i="3"/>
  <c r="G700" i="5"/>
  <c r="I700" i="5" s="1"/>
  <c r="I701" i="5"/>
  <c r="G137" i="5"/>
  <c r="I138" i="5"/>
  <c r="G872" i="15"/>
  <c r="I1005" i="4"/>
  <c r="G1028" i="4"/>
  <c r="I1028" i="4" s="1"/>
  <c r="I1029" i="4"/>
  <c r="G375" i="14"/>
  <c r="H416" i="3"/>
  <c r="F521" i="3"/>
  <c r="H521" i="3" s="1"/>
  <c r="H522" i="3"/>
  <c r="F858" i="3"/>
  <c r="H858" i="3" s="1"/>
  <c r="H859" i="3"/>
  <c r="G36" i="6"/>
  <c r="I37" i="6"/>
  <c r="G503" i="5"/>
  <c r="I503" i="5" s="1"/>
  <c r="I502" i="5"/>
  <c r="G17" i="6"/>
  <c r="I18" i="6"/>
  <c r="G322" i="5"/>
  <c r="I322" i="5" s="1"/>
  <c r="I323" i="5"/>
  <c r="G908" i="15"/>
  <c r="H908" i="15" s="1"/>
  <c r="I1045" i="4"/>
  <c r="F282" i="14"/>
  <c r="G282" i="14" s="1"/>
  <c r="H319" i="3"/>
  <c r="H641" i="15"/>
  <c r="I730" i="4"/>
  <c r="G217" i="4"/>
  <c r="I217" i="4" s="1"/>
  <c r="I218" i="4"/>
  <c r="G622" i="5"/>
  <c r="I622" i="5" s="1"/>
  <c r="I623" i="5"/>
  <c r="G782" i="15"/>
  <c r="I901" i="4"/>
  <c r="F1092" i="3"/>
  <c r="H1092" i="3" s="1"/>
  <c r="H1093" i="3"/>
  <c r="G513" i="15"/>
  <c r="H513" i="15" s="1"/>
  <c r="I597" i="4"/>
  <c r="G628" i="5"/>
  <c r="I628" i="5" s="1"/>
  <c r="I627" i="5"/>
  <c r="G247" i="4"/>
  <c r="I247" i="4" s="1"/>
  <c r="I248" i="4"/>
  <c r="F171" i="3"/>
  <c r="H171" i="3" s="1"/>
  <c r="H172" i="3"/>
  <c r="F371" i="14"/>
  <c r="G371" i="14" s="1"/>
  <c r="H412" i="3"/>
  <c r="D18" i="13"/>
  <c r="F16" i="2"/>
  <c r="G971" i="15"/>
  <c r="H971" i="15" s="1"/>
  <c r="I1112" i="4"/>
  <c r="G930" i="15"/>
  <c r="H930" i="15" s="1"/>
  <c r="I1067" i="4"/>
  <c r="G612" i="4"/>
  <c r="I612" i="4" s="1"/>
  <c r="I613" i="4"/>
  <c r="G419" i="5"/>
  <c r="I419" i="5" s="1"/>
  <c r="I423" i="5"/>
  <c r="G911" i="15"/>
  <c r="H911" i="15" s="1"/>
  <c r="I1048" i="4"/>
  <c r="J48" i="3"/>
  <c r="H52" i="3"/>
  <c r="H504" i="3"/>
  <c r="G513" i="4"/>
  <c r="I513" i="4" s="1"/>
  <c r="I516" i="4"/>
  <c r="F378" i="3"/>
  <c r="H378" i="3" s="1"/>
  <c r="H379" i="3"/>
  <c r="F413" i="14"/>
  <c r="H458" i="3"/>
  <c r="G592" i="4"/>
  <c r="I592" i="4" s="1"/>
  <c r="I593" i="4"/>
  <c r="G1159" i="4"/>
  <c r="I1159" i="4" s="1"/>
  <c r="I1164" i="4"/>
  <c r="G850" i="4"/>
  <c r="I850" i="4" s="1"/>
  <c r="I853" i="4"/>
  <c r="F660" i="3"/>
  <c r="H661" i="3"/>
  <c r="F879" i="3"/>
  <c r="H879" i="3" s="1"/>
  <c r="H880" i="3"/>
  <c r="F587" i="3"/>
  <c r="H587" i="3" s="1"/>
  <c r="H588" i="3"/>
  <c r="G951" i="5"/>
  <c r="I951" i="5" s="1"/>
  <c r="I952" i="5"/>
  <c r="G751" i="4"/>
  <c r="I751" i="4" s="1"/>
  <c r="I752" i="4"/>
  <c r="G32" i="6"/>
  <c r="I33" i="6"/>
  <c r="F324" i="3"/>
  <c r="H324" i="3" s="1"/>
  <c r="H325" i="3"/>
  <c r="G985" i="15"/>
  <c r="I1126" i="4"/>
  <c r="G229" i="5"/>
  <c r="I229" i="5" s="1"/>
  <c r="I228" i="5"/>
  <c r="G431" i="4"/>
  <c r="I431" i="4" s="1"/>
  <c r="I432" i="4"/>
  <c r="G669" i="4"/>
  <c r="I669" i="4" s="1"/>
  <c r="I670" i="4"/>
  <c r="G138" i="16"/>
  <c r="I525" i="4"/>
  <c r="G259" i="15"/>
  <c r="I282" i="4"/>
  <c r="G310" i="4"/>
  <c r="I310" i="4" s="1"/>
  <c r="I311" i="4"/>
  <c r="G170" i="4"/>
  <c r="I172" i="4"/>
  <c r="G420" i="4"/>
  <c r="I420" i="4" s="1"/>
  <c r="I1272" i="4" s="1"/>
  <c r="I421" i="4"/>
  <c r="G585" i="5"/>
  <c r="I585" i="5" s="1"/>
  <c r="I584" i="5"/>
  <c r="G166" i="4"/>
  <c r="I166" i="4" s="1"/>
  <c r="I167" i="4"/>
  <c r="G41" i="6"/>
  <c r="I42" i="6"/>
  <c r="G338" i="10"/>
  <c r="G337" i="10" s="1"/>
  <c r="G373" i="10"/>
  <c r="G358" i="10" s="1"/>
  <c r="G777" i="10"/>
  <c r="G770" i="10" s="1"/>
  <c r="G984" i="10" s="1"/>
  <c r="F917" i="3"/>
  <c r="H917" i="3" s="1"/>
  <c r="G655" i="10"/>
  <c r="G645" i="10" s="1"/>
  <c r="G1027" i="4"/>
  <c r="I1027" i="4" s="1"/>
  <c r="G477" i="4"/>
  <c r="G1158" i="4"/>
  <c r="I1158" i="4" s="1"/>
  <c r="F168" i="3"/>
  <c r="H168" i="3" s="1"/>
  <c r="G120" i="4"/>
  <c r="I120" i="4" s="1"/>
  <c r="G1000" i="10"/>
  <c r="G121" i="10"/>
  <c r="G97" i="10" s="1"/>
  <c r="G56" i="10" s="1"/>
  <c r="G279" i="10"/>
  <c r="G1001" i="10" s="1"/>
  <c r="G459" i="4"/>
  <c r="G13" i="4"/>
  <c r="I13" i="4" s="1"/>
  <c r="G966" i="4"/>
  <c r="K1270" i="4"/>
  <c r="G1272" i="4"/>
  <c r="H1021" i="15"/>
  <c r="G1173" i="4"/>
  <c r="I1173" i="4" s="1"/>
  <c r="G306" i="4"/>
  <c r="I306" i="4" s="1"/>
  <c r="G733" i="10"/>
  <c r="G725" i="10" s="1"/>
  <c r="G704" i="10" s="1"/>
  <c r="G989" i="10" s="1"/>
  <c r="G848" i="10"/>
  <c r="G847" i="10" s="1"/>
  <c r="G236" i="10"/>
  <c r="G235" i="10" s="1"/>
  <c r="G195" i="10"/>
  <c r="G1006" i="10"/>
  <c r="G900" i="10"/>
  <c r="G899" i="10" s="1"/>
  <c r="G278" i="10"/>
  <c r="G207" i="15"/>
  <c r="G1109" i="15" s="1"/>
  <c r="F212" i="3"/>
  <c r="G278" i="15"/>
  <c r="G302" i="4"/>
  <c r="I302" i="4" s="1"/>
  <c r="G219" i="16"/>
  <c r="G218" i="16" s="1"/>
  <c r="G217" i="16" s="1"/>
  <c r="G216" i="16" s="1"/>
  <c r="G990" i="10"/>
  <c r="G926" i="10"/>
  <c r="G925" i="10" s="1"/>
  <c r="G390" i="10"/>
  <c r="G994" i="10" s="1"/>
  <c r="G411" i="4"/>
  <c r="I411" i="4" s="1"/>
  <c r="G826" i="10"/>
  <c r="G800" i="10" s="1"/>
  <c r="G675" i="10"/>
  <c r="G674" i="10" s="1"/>
  <c r="G322" i="4"/>
  <c r="G30" i="10"/>
  <c r="G29" i="10" s="1"/>
  <c r="G615" i="15"/>
  <c r="H32" i="14"/>
  <c r="G548" i="14"/>
  <c r="H220" i="16"/>
  <c r="H221" i="16" s="1"/>
  <c r="G501" i="14"/>
  <c r="G500" i="14" s="1"/>
  <c r="G499" i="14" s="1"/>
  <c r="F500" i="14"/>
  <c r="F499" i="14" s="1"/>
  <c r="H1080" i="15"/>
  <c r="G1069" i="15"/>
  <c r="G400" i="4"/>
  <c r="F567" i="14"/>
  <c r="F543" i="14" s="1"/>
  <c r="H252" i="16"/>
  <c r="H251" i="16" s="1"/>
  <c r="H250" i="16" s="1"/>
  <c r="H254" i="16"/>
  <c r="G837" i="4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137" i="16"/>
  <c r="G136" i="16" s="1"/>
  <c r="G135" i="16" s="1"/>
  <c r="G134" i="16" s="1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G226" i="15"/>
  <c r="G225" i="15" s="1"/>
  <c r="G246" i="4"/>
  <c r="G570" i="14"/>
  <c r="G569" i="14" s="1"/>
  <c r="G568" i="14" s="1"/>
  <c r="G87" i="16"/>
  <c r="G86" i="16" s="1"/>
  <c r="G85" i="16" s="1"/>
  <c r="G89" i="16"/>
  <c r="G418" i="5"/>
  <c r="G1000" i="4"/>
  <c r="I1000" i="4" s="1"/>
  <c r="G546" i="10"/>
  <c r="G459" i="10"/>
  <c r="G995" i="10"/>
  <c r="G507" i="10"/>
  <c r="G978" i="10"/>
  <c r="G171" i="4"/>
  <c r="I171" i="4" s="1"/>
  <c r="G856" i="4"/>
  <c r="G57" i="4"/>
  <c r="I57" i="4" s="1"/>
  <c r="H209" i="15"/>
  <c r="G288" i="14"/>
  <c r="G287" i="14" s="1"/>
  <c r="G572" i="4"/>
  <c r="F241" i="14"/>
  <c r="G579" i="15"/>
  <c r="H579" i="15" s="1"/>
  <c r="G193" i="4"/>
  <c r="G254" i="4"/>
  <c r="I254" i="4" s="1"/>
  <c r="G938" i="4"/>
  <c r="I938" i="4" s="1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8" i="14"/>
  <c r="G37" i="14" s="1"/>
  <c r="G31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G69" i="14"/>
  <c r="G68" i="14" s="1"/>
  <c r="G67" i="14" s="1"/>
  <c r="G253" i="15"/>
  <c r="G272" i="4"/>
  <c r="H725" i="16"/>
  <c r="G165" i="4"/>
  <c r="G84" i="15"/>
  <c r="G74" i="15"/>
  <c r="H497" i="15"/>
  <c r="F52" i="14"/>
  <c r="F51" i="14" s="1"/>
  <c r="G79" i="15"/>
  <c r="F118" i="14"/>
  <c r="G693" i="4"/>
  <c r="I693" i="4" s="1"/>
  <c r="G524" i="4"/>
  <c r="I524" i="4" s="1"/>
  <c r="G364" i="4"/>
  <c r="I364" i="4" s="1"/>
  <c r="G694" i="4"/>
  <c r="I694" i="4" s="1"/>
  <c r="G583" i="5"/>
  <c r="F194" i="3"/>
  <c r="H194" i="3" s="1"/>
  <c r="F411" i="3"/>
  <c r="G318" i="5"/>
  <c r="F585" i="3"/>
  <c r="G85" i="14"/>
  <c r="G227" i="5"/>
  <c r="G824" i="4"/>
  <c r="I824" i="4" s="1"/>
  <c r="G625" i="4"/>
  <c r="F664" i="3"/>
  <c r="G813" i="5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92" i="5"/>
  <c r="F847" i="3"/>
  <c r="H847" i="3" s="1"/>
  <c r="G672" i="16"/>
  <c r="H320" i="15"/>
  <c r="G549" i="16"/>
  <c r="H323" i="15"/>
  <c r="G553" i="16"/>
  <c r="G452" i="16"/>
  <c r="H67" i="16"/>
  <c r="H65" i="16"/>
  <c r="H64" i="16" s="1"/>
  <c r="H63" i="16" s="1"/>
  <c r="H62" i="16" s="1"/>
  <c r="H61" i="16" s="1"/>
  <c r="H60" i="16" s="1"/>
  <c r="H312" i="15"/>
  <c r="H514" i="16" s="1"/>
  <c r="H513" i="16" s="1"/>
  <c r="H509" i="16" s="1"/>
  <c r="H504" i="16" s="1"/>
  <c r="H503" i="16" s="1"/>
  <c r="H502" i="16" s="1"/>
  <c r="G514" i="16"/>
  <c r="H259" i="15"/>
  <c r="H783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H903" i="15"/>
  <c r="H902" i="15" s="1"/>
  <c r="G902" i="15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G698" i="16"/>
  <c r="G697" i="16" s="1"/>
  <c r="G696" i="16" s="1"/>
  <c r="F240" i="3"/>
  <c r="G624" i="5"/>
  <c r="I624" i="5" s="1"/>
  <c r="G854" i="5"/>
  <c r="I854" i="5" s="1"/>
  <c r="F318" i="3"/>
  <c r="H318" i="3" s="1"/>
  <c r="G739" i="5"/>
  <c r="F192" i="3"/>
  <c r="H192" i="3" s="1"/>
  <c r="G823" i="4"/>
  <c r="I823" i="4" s="1"/>
  <c r="G312" i="5"/>
  <c r="I312" i="5" s="1"/>
  <c r="G288" i="4"/>
  <c r="I288" i="4" s="1"/>
  <c r="G289" i="4"/>
  <c r="I289" i="4" s="1"/>
  <c r="G363" i="4"/>
  <c r="I363" i="4" s="1"/>
  <c r="G741" i="5"/>
  <c r="I741" i="5" s="1"/>
  <c r="G310" i="5"/>
  <c r="F123" i="3"/>
  <c r="G620" i="5"/>
  <c r="I620" i="5" s="1"/>
  <c r="G618" i="5"/>
  <c r="G626" i="5"/>
  <c r="G74" i="5"/>
  <c r="I74" i="5" s="1"/>
  <c r="G58" i="5"/>
  <c r="I58" i="5" s="1"/>
  <c r="G1121" i="4"/>
  <c r="I1121" i="4" s="1"/>
  <c r="G650" i="4"/>
  <c r="I650" i="4" s="1"/>
  <c r="H570" i="15"/>
  <c r="G737" i="4"/>
  <c r="I737" i="4" s="1"/>
  <c r="H649" i="15"/>
  <c r="G186" i="4"/>
  <c r="I186" i="4" s="1"/>
  <c r="G633" i="4"/>
  <c r="H892" i="15"/>
  <c r="H893" i="15"/>
  <c r="G733" i="4"/>
  <c r="I733" i="4" s="1"/>
  <c r="G265" i="4"/>
  <c r="G1062" i="4"/>
  <c r="I1062" i="4" s="1"/>
  <c r="H926" i="15"/>
  <c r="G495" i="4"/>
  <c r="I495" i="4" s="1"/>
  <c r="G1019" i="4"/>
  <c r="I1019" i="4" s="1"/>
  <c r="G1011" i="4"/>
  <c r="I1011" i="4" s="1"/>
  <c r="G881" i="15"/>
  <c r="H881" i="15" s="1"/>
  <c r="G701" i="4"/>
  <c r="G372" i="4"/>
  <c r="I372" i="4" s="1"/>
  <c r="G1223" i="4"/>
  <c r="G748" i="4"/>
  <c r="G792" i="4"/>
  <c r="G653" i="4"/>
  <c r="I653" i="4" s="1"/>
  <c r="H573" i="15"/>
  <c r="G888" i="4"/>
  <c r="H773" i="15"/>
  <c r="G724" i="4"/>
  <c r="G636" i="15"/>
  <c r="H636" i="15" s="1"/>
  <c r="G808" i="4"/>
  <c r="I808" i="4" s="1"/>
  <c r="G637" i="4"/>
  <c r="G355" i="4"/>
  <c r="I355" i="4" s="1"/>
  <c r="G927" i="4"/>
  <c r="G1077" i="4"/>
  <c r="I1077" i="4" s="1"/>
  <c r="G941" i="15"/>
  <c r="G416" i="4"/>
  <c r="I416" i="4" s="1"/>
  <c r="G1209" i="4"/>
  <c r="I1209" i="4" s="1"/>
  <c r="G453" i="4"/>
  <c r="I453" i="4" s="1"/>
  <c r="G221" i="4"/>
  <c r="I221" i="4" s="1"/>
  <c r="G1081" i="4"/>
  <c r="I1081" i="4" s="1"/>
  <c r="G689" i="4"/>
  <c r="I689" i="4" s="1"/>
  <c r="G1132" i="4"/>
  <c r="G992" i="15"/>
  <c r="G1073" i="4"/>
  <c r="I1073" i="4" s="1"/>
  <c r="G811" i="4"/>
  <c r="I811" i="4" s="1"/>
  <c r="G708" i="15"/>
  <c r="G157" i="4"/>
  <c r="I157" i="4" s="1"/>
  <c r="G66" i="4"/>
  <c r="G785" i="4"/>
  <c r="I785" i="4" s="1"/>
  <c r="G286" i="15"/>
  <c r="G285" i="15" s="1"/>
  <c r="G780" i="4"/>
  <c r="I780" i="4" s="1"/>
  <c r="G447" i="4"/>
  <c r="I447" i="4" s="1"/>
  <c r="G921" i="4"/>
  <c r="I921" i="4" s="1"/>
  <c r="G1058" i="4"/>
  <c r="I1058" i="4" s="1"/>
  <c r="G508" i="4"/>
  <c r="I508" i="4" s="1"/>
  <c r="G1016" i="4"/>
  <c r="I1016" i="4" s="1"/>
  <c r="G602" i="4"/>
  <c r="I602" i="4" s="1"/>
  <c r="G881" i="4"/>
  <c r="G663" i="4"/>
  <c r="I663" i="4" s="1"/>
  <c r="G816" i="4"/>
  <c r="I816" i="4" s="1"/>
  <c r="G1115" i="4"/>
  <c r="I1115" i="4" s="1"/>
  <c r="G1237" i="4"/>
  <c r="I1237" i="4" s="1"/>
  <c r="G609" i="4"/>
  <c r="I609" i="4" s="1"/>
  <c r="G717" i="4"/>
  <c r="I717" i="4" s="1"/>
  <c r="G349" i="4"/>
  <c r="I349" i="4" s="1"/>
  <c r="G908" i="4"/>
  <c r="I908" i="4" s="1"/>
  <c r="G727" i="4"/>
  <c r="H639" i="15"/>
  <c r="G666" i="4"/>
  <c r="I666" i="4" s="1"/>
  <c r="G1106" i="4"/>
  <c r="I1106" i="4" s="1"/>
  <c r="G740" i="4"/>
  <c r="I740" i="4" s="1"/>
  <c r="G189" i="4"/>
  <c r="I189" i="4" s="1"/>
  <c r="G904" i="4"/>
  <c r="I904" i="4" s="1"/>
  <c r="G339" i="4"/>
  <c r="G311" i="15"/>
  <c r="H311" i="15" s="1"/>
  <c r="G990" i="4"/>
  <c r="I990" i="4" s="1"/>
  <c r="G1070" i="4"/>
  <c r="I1070" i="4" s="1"/>
  <c r="H934" i="15"/>
  <c r="G1189" i="4"/>
  <c r="G643" i="4"/>
  <c r="I643" i="4" s="1"/>
  <c r="G708" i="4"/>
  <c r="I708" i="4" s="1"/>
  <c r="G352" i="4"/>
  <c r="I352" i="4" s="1"/>
  <c r="G162" i="5"/>
  <c r="I162" i="5" s="1"/>
  <c r="G427" i="4"/>
  <c r="I427" i="4" s="1"/>
  <c r="G161" i="4"/>
  <c r="G241" i="4"/>
  <c r="I241" i="4" s="1"/>
  <c r="G995" i="4"/>
  <c r="I995" i="4" s="1"/>
  <c r="F12" i="3"/>
  <c r="H12" i="3" s="1"/>
  <c r="G164" i="5"/>
  <c r="I164" i="5" s="1"/>
  <c r="G831" i="4"/>
  <c r="I831" i="4" s="1"/>
  <c r="G688" i="5"/>
  <c r="I688" i="5" s="1"/>
  <c r="G982" i="4"/>
  <c r="I982" i="4" s="1"/>
  <c r="G69" i="5"/>
  <c r="I69" i="5" s="1"/>
  <c r="G966" i="5"/>
  <c r="I966" i="5" s="1"/>
  <c r="G273" i="5"/>
  <c r="I273" i="5" s="1"/>
  <c r="G684" i="5"/>
  <c r="I684" i="5" s="1"/>
  <c r="G716" i="5"/>
  <c r="I716" i="5" s="1"/>
  <c r="G825" i="5"/>
  <c r="I825" i="5" s="1"/>
  <c r="G902" i="5"/>
  <c r="I902" i="5" s="1"/>
  <c r="G892" i="5"/>
  <c r="I892" i="5" s="1"/>
  <c r="G906" i="5"/>
  <c r="I906" i="5" s="1"/>
  <c r="G912" i="5"/>
  <c r="I912" i="5" s="1"/>
  <c r="G925" i="5"/>
  <c r="I925" i="5" s="1"/>
  <c r="G286" i="5"/>
  <c r="I286" i="5" s="1"/>
  <c r="G449" i="5"/>
  <c r="G460" i="5"/>
  <c r="I460" i="5" s="1"/>
  <c r="G479" i="5"/>
  <c r="I479" i="5" s="1"/>
  <c r="G621" i="5"/>
  <c r="I621" i="5" s="1"/>
  <c r="G881" i="5"/>
  <c r="I881" i="5" s="1"/>
  <c r="G897" i="5"/>
  <c r="I897" i="5" s="1"/>
  <c r="G931" i="5"/>
  <c r="I931" i="5" s="1"/>
  <c r="G782" i="5"/>
  <c r="G861" i="5"/>
  <c r="I861" i="5" s="1"/>
  <c r="G873" i="5"/>
  <c r="I873" i="5" s="1"/>
  <c r="G838" i="5"/>
  <c r="I838" i="5" s="1"/>
  <c r="G406" i="5"/>
  <c r="I406" i="5" s="1"/>
  <c r="G973" i="5"/>
  <c r="I973" i="5" s="1"/>
  <c r="G151" i="5"/>
  <c r="G302" i="5"/>
  <c r="G255" i="5"/>
  <c r="I255" i="5" s="1"/>
  <c r="G441" i="5"/>
  <c r="G464" i="5"/>
  <c r="I464" i="5" s="1"/>
  <c r="G468" i="5"/>
  <c r="I468" i="5" s="1"/>
  <c r="G241" i="5"/>
  <c r="I241" i="5" s="1"/>
  <c r="G734" i="5"/>
  <c r="I734" i="5" s="1"/>
  <c r="G749" i="5"/>
  <c r="I749" i="5" s="1"/>
  <c r="G865" i="5"/>
  <c r="I865" i="5" s="1"/>
  <c r="G869" i="5"/>
  <c r="I869" i="5" s="1"/>
  <c r="G950" i="5"/>
  <c r="I950" i="5" s="1"/>
  <c r="G831" i="5"/>
  <c r="I831" i="5" s="1"/>
  <c r="G178" i="4"/>
  <c r="I178" i="4" s="1"/>
  <c r="G169" i="15"/>
  <c r="F263" i="3"/>
  <c r="H263" i="3" s="1"/>
  <c r="F571" i="3"/>
  <c r="H571" i="3" s="1"/>
  <c r="F1040" i="3"/>
  <c r="H1040" i="3" s="1"/>
  <c r="F81" i="3"/>
  <c r="H81" i="3" s="1"/>
  <c r="F569" i="3"/>
  <c r="H569" i="3" s="1"/>
  <c r="F1008" i="3"/>
  <c r="H1008" i="3" s="1"/>
  <c r="F466" i="3"/>
  <c r="H466" i="3" s="1"/>
  <c r="F732" i="3"/>
  <c r="H732" i="3" s="1"/>
  <c r="F724" i="3"/>
  <c r="H724" i="3" s="1"/>
  <c r="F656" i="3"/>
  <c r="H656" i="3" s="1"/>
  <c r="F774" i="3"/>
  <c r="H774" i="3" s="1"/>
  <c r="F1094" i="3"/>
  <c r="H1094" i="3" s="1"/>
  <c r="F229" i="3"/>
  <c r="H229" i="3" s="1"/>
  <c r="F695" i="3"/>
  <c r="H695" i="3" s="1"/>
  <c r="F462" i="3"/>
  <c r="H462" i="3" s="1"/>
  <c r="F944" i="3"/>
  <c r="H944" i="3" s="1"/>
  <c r="F616" i="3"/>
  <c r="F870" i="3"/>
  <c r="H870" i="3" s="1"/>
  <c r="F754" i="14"/>
  <c r="F451" i="3"/>
  <c r="H451" i="3" s="1"/>
  <c r="F57" i="3"/>
  <c r="H57" i="3" s="1"/>
  <c r="F707" i="3"/>
  <c r="F564" i="3"/>
  <c r="H564" i="3" s="1"/>
  <c r="F1026" i="3"/>
  <c r="F459" i="3"/>
  <c r="H459" i="3" s="1"/>
  <c r="F88" i="3"/>
  <c r="H88" i="3" s="1"/>
  <c r="F83" i="3"/>
  <c r="H83" i="3" s="1"/>
  <c r="F86" i="3"/>
  <c r="H86" i="3" s="1"/>
  <c r="F76" i="3"/>
  <c r="H76" i="3" s="1"/>
  <c r="F361" i="3"/>
  <c r="H361" i="3" s="1"/>
  <c r="F267" i="3"/>
  <c r="H267" i="3" s="1"/>
  <c r="F718" i="3"/>
  <c r="H718" i="3" s="1"/>
  <c r="F768" i="3"/>
  <c r="H768" i="3" s="1"/>
  <c r="F938" i="3"/>
  <c r="F470" i="3"/>
  <c r="H470" i="3" s="1"/>
  <c r="F115" i="3"/>
  <c r="H115" i="3" s="1"/>
  <c r="F78" i="3"/>
  <c r="H78" i="3" s="1"/>
  <c r="F364" i="3"/>
  <c r="H364" i="3" s="1"/>
  <c r="F358" i="3"/>
  <c r="H358" i="3" s="1"/>
  <c r="F322" i="14"/>
  <c r="G322" i="14" s="1"/>
  <c r="F183" i="3"/>
  <c r="F53" i="3"/>
  <c r="H53" i="3" s="1"/>
  <c r="F37" i="3"/>
  <c r="H37" i="3" s="1"/>
  <c r="F635" i="3"/>
  <c r="H635" i="3" s="1"/>
  <c r="F494" i="3"/>
  <c r="H494" i="3" s="1"/>
  <c r="F60" i="3"/>
  <c r="H60" i="3" s="1"/>
  <c r="F304" i="3"/>
  <c r="H304" i="3" s="1"/>
  <c r="F454" i="3"/>
  <c r="H454" i="3" s="1"/>
  <c r="F843" i="3"/>
  <c r="H843" i="3" s="1"/>
  <c r="F518" i="3"/>
  <c r="H518" i="3" s="1"/>
  <c r="F649" i="3"/>
  <c r="H649" i="3" s="1"/>
  <c r="F508" i="3"/>
  <c r="H508" i="3" s="1"/>
  <c r="F643" i="3"/>
  <c r="H643" i="3" s="1"/>
  <c r="F640" i="3"/>
  <c r="H640" i="3" s="1"/>
  <c r="F815" i="3"/>
  <c r="H815" i="3" s="1"/>
  <c r="F760" i="3"/>
  <c r="H760" i="3" s="1"/>
  <c r="F661" i="14"/>
  <c r="G661" i="14" s="1"/>
  <c r="F973" i="3"/>
  <c r="H973" i="3" s="1"/>
  <c r="F1116" i="3"/>
  <c r="H1116" i="3" s="1"/>
  <c r="F1066" i="3"/>
  <c r="H1066" i="3" s="1"/>
  <c r="F1081" i="3"/>
  <c r="H1081" i="3" s="1"/>
  <c r="F247" i="3"/>
  <c r="H247" i="3" s="1"/>
  <c r="F992" i="3"/>
  <c r="H992" i="3" s="1"/>
  <c r="F243" i="3"/>
  <c r="H243" i="3" s="1"/>
  <c r="F51" i="3"/>
  <c r="H51" i="3" s="1"/>
  <c r="F1019" i="3"/>
  <c r="F326" i="3"/>
  <c r="H326" i="3" s="1"/>
  <c r="F372" i="3"/>
  <c r="G335" i="14"/>
  <c r="F534" i="3"/>
  <c r="H534" i="3" s="1"/>
  <c r="F821" i="3"/>
  <c r="H821" i="3" s="1"/>
  <c r="F823" i="3"/>
  <c r="H823" i="3" s="1"/>
  <c r="F839" i="3"/>
  <c r="F582" i="3"/>
  <c r="H582" i="3" s="1"/>
  <c r="F845" i="3"/>
  <c r="H845" i="3" s="1"/>
  <c r="F771" i="3"/>
  <c r="H771" i="3" s="1"/>
  <c r="F954" i="3"/>
  <c r="H954" i="3" s="1"/>
  <c r="F1006" i="3"/>
  <c r="H1006" i="3" s="1"/>
  <c r="F1060" i="3"/>
  <c r="H1060" i="3" s="1"/>
  <c r="F1077" i="3"/>
  <c r="H1077" i="3" s="1"/>
  <c r="F1105" i="3"/>
  <c r="H1105" i="3" s="1"/>
  <c r="F608" i="3"/>
  <c r="H608" i="3" s="1"/>
  <c r="F700" i="3"/>
  <c r="H700" i="3" s="1"/>
  <c r="F604" i="3"/>
  <c r="H604" i="3" s="1"/>
  <c r="F383" i="3"/>
  <c r="H383" i="3" s="1"/>
  <c r="F356" i="14"/>
  <c r="F233" i="3"/>
  <c r="H233" i="3" s="1"/>
  <c r="F415" i="3"/>
  <c r="H415" i="3" s="1"/>
  <c r="G820" i="5"/>
  <c r="I820" i="5" s="1"/>
  <c r="F407" i="3"/>
  <c r="H407" i="3" s="1"/>
  <c r="G806" i="5"/>
  <c r="I806" i="5" s="1"/>
  <c r="F403" i="3"/>
  <c r="H403" i="3" s="1"/>
  <c r="G799" i="5"/>
  <c r="I799" i="5" s="1"/>
  <c r="G748" i="5"/>
  <c r="I748" i="5" s="1"/>
  <c r="G746" i="5"/>
  <c r="I746" i="5" s="1"/>
  <c r="F456" i="3"/>
  <c r="G728" i="5"/>
  <c r="I728" i="5" s="1"/>
  <c r="G919" i="5"/>
  <c r="I919" i="5" s="1"/>
  <c r="G921" i="5"/>
  <c r="I921" i="5" s="1"/>
  <c r="G721" i="5"/>
  <c r="I721" i="5" s="1"/>
  <c r="G723" i="5"/>
  <c r="I723" i="5" s="1"/>
  <c r="G543" i="5"/>
  <c r="I543" i="5" s="1"/>
  <c r="G545" i="5"/>
  <c r="I545" i="5" s="1"/>
  <c r="G546" i="5"/>
  <c r="I546" i="5" s="1"/>
  <c r="G548" i="5"/>
  <c r="I548" i="5" s="1"/>
  <c r="G549" i="5"/>
  <c r="I549" i="5" s="1"/>
  <c r="G551" i="5"/>
  <c r="I551" i="5" s="1"/>
  <c r="G501" i="5"/>
  <c r="I501" i="5" s="1"/>
  <c r="G498" i="5"/>
  <c r="I498" i="5" s="1"/>
  <c r="G500" i="5"/>
  <c r="I500" i="5" s="1"/>
  <c r="G484" i="5"/>
  <c r="I484" i="5" s="1"/>
  <c r="G486" i="5"/>
  <c r="I486" i="5" s="1"/>
  <c r="G267" i="5"/>
  <c r="I267" i="5" s="1"/>
  <c r="G269" i="5"/>
  <c r="I269" i="5" s="1"/>
  <c r="G296" i="5"/>
  <c r="I296" i="5" s="1"/>
  <c r="G298" i="5"/>
  <c r="I298" i="5" s="1"/>
  <c r="G291" i="5"/>
  <c r="I291" i="5" s="1"/>
  <c r="G293" i="5"/>
  <c r="I293" i="5" s="1"/>
  <c r="G260" i="5"/>
  <c r="I260" i="5" s="1"/>
  <c r="G262" i="5"/>
  <c r="I262" i="5" s="1"/>
  <c r="G248" i="5"/>
  <c r="I248" i="5" s="1"/>
  <c r="G250" i="5"/>
  <c r="I250" i="5" s="1"/>
  <c r="G252" i="5"/>
  <c r="I252" i="5" s="1"/>
  <c r="G254" i="5"/>
  <c r="I254" i="5" s="1"/>
  <c r="G278" i="5"/>
  <c r="I278" i="5" s="1"/>
  <c r="G280" i="5"/>
  <c r="I280" i="5" s="1"/>
  <c r="G282" i="5"/>
  <c r="I282" i="5" s="1"/>
  <c r="G284" i="5"/>
  <c r="I284" i="5" s="1"/>
  <c r="G234" i="5"/>
  <c r="I234" i="5" s="1"/>
  <c r="G236" i="5"/>
  <c r="I236" i="5" s="1"/>
  <c r="G238" i="5"/>
  <c r="I238" i="5" s="1"/>
  <c r="G240" i="5"/>
  <c r="I240" i="5" s="1"/>
  <c r="G24" i="5"/>
  <c r="I24" i="5" s="1"/>
  <c r="G26" i="5"/>
  <c r="I26" i="5" s="1"/>
  <c r="G27" i="5"/>
  <c r="I27" i="5" s="1"/>
  <c r="G29" i="5"/>
  <c r="I29" i="5" s="1"/>
  <c r="G699" i="5"/>
  <c r="I699" i="5" s="1"/>
  <c r="G802" i="4"/>
  <c r="I802" i="4" s="1"/>
  <c r="G220" i="5"/>
  <c r="I220" i="5" s="1"/>
  <c r="F624" i="3"/>
  <c r="H624" i="3" s="1"/>
  <c r="G199" i="5"/>
  <c r="I199" i="5" s="1"/>
  <c r="F556" i="3"/>
  <c r="H556" i="3" s="1"/>
  <c r="G178" i="5"/>
  <c r="I178" i="5" s="1"/>
  <c r="F562" i="3"/>
  <c r="H562" i="3" s="1"/>
  <c r="G186" i="5"/>
  <c r="I186" i="5" s="1"/>
  <c r="F633" i="3"/>
  <c r="H633" i="3" s="1"/>
  <c r="G211" i="5"/>
  <c r="I211" i="5" s="1"/>
  <c r="F801" i="3"/>
  <c r="H801" i="3" s="1"/>
  <c r="F1038" i="3"/>
  <c r="H1038" i="3" s="1"/>
  <c r="F1079" i="3"/>
  <c r="H1079" i="3" s="1"/>
  <c r="F1083" i="3"/>
  <c r="H1083" i="3" s="1"/>
  <c r="F270" i="3"/>
  <c r="H270" i="3" s="1"/>
  <c r="G228" i="4"/>
  <c r="I228" i="4" s="1"/>
  <c r="G92" i="4"/>
  <c r="I92" i="4" s="1"/>
  <c r="G82" i="4"/>
  <c r="I82" i="4" s="1"/>
  <c r="G1039" i="4"/>
  <c r="I1039" i="4" s="1"/>
  <c r="G87" i="4"/>
  <c r="I87" i="4" s="1"/>
  <c r="I985" i="10"/>
  <c r="F206" i="3"/>
  <c r="H206" i="3" s="1"/>
  <c r="F1103" i="3"/>
  <c r="H1103" i="3" s="1"/>
  <c r="G1066" i="4"/>
  <c r="I1066" i="4" s="1"/>
  <c r="G145" i="4"/>
  <c r="G1109" i="4"/>
  <c r="I1109" i="4" s="1"/>
  <c r="G953" i="4"/>
  <c r="I953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144" i="4" l="1"/>
  <c r="I144" i="4" s="1"/>
  <c r="I145" i="4"/>
  <c r="F411" i="14"/>
  <c r="H456" i="3"/>
  <c r="F371" i="3"/>
  <c r="H371" i="3" s="1"/>
  <c r="H372" i="3"/>
  <c r="F1018" i="3"/>
  <c r="H1018" i="3" s="1"/>
  <c r="H1019" i="3"/>
  <c r="F935" i="3"/>
  <c r="H935" i="3" s="1"/>
  <c r="H938" i="3"/>
  <c r="F1025" i="3"/>
  <c r="H1025" i="3" s="1"/>
  <c r="H1026" i="3"/>
  <c r="F706" i="3"/>
  <c r="H706" i="3" s="1"/>
  <c r="H707" i="3"/>
  <c r="G150" i="5"/>
  <c r="I151" i="5"/>
  <c r="G781" i="5"/>
  <c r="I781" i="5" s="1"/>
  <c r="I782" i="5"/>
  <c r="G335" i="4"/>
  <c r="I335" i="4" s="1"/>
  <c r="I339" i="4"/>
  <c r="G880" i="4"/>
  <c r="I880" i="4" s="1"/>
  <c r="I881" i="4"/>
  <c r="H64" i="15"/>
  <c r="I66" i="4"/>
  <c r="I1132" i="4"/>
  <c r="I1266" i="4" s="1"/>
  <c r="G635" i="15"/>
  <c r="I724" i="4"/>
  <c r="G887" i="4"/>
  <c r="I887" i="4" s="1"/>
  <c r="I888" i="4"/>
  <c r="G747" i="4"/>
  <c r="I747" i="4" s="1"/>
  <c r="I748" i="4"/>
  <c r="G264" i="4"/>
  <c r="I265" i="4"/>
  <c r="G632" i="4"/>
  <c r="I632" i="4" s="1"/>
  <c r="I633" i="4"/>
  <c r="G617" i="5"/>
  <c r="I617" i="5" s="1"/>
  <c r="I618" i="5"/>
  <c r="F122" i="3"/>
  <c r="H122" i="3" s="1"/>
  <c r="H123" i="3"/>
  <c r="G491" i="5"/>
  <c r="I491" i="5" s="1"/>
  <c r="I492" i="5"/>
  <c r="F663" i="3"/>
  <c r="H664" i="3"/>
  <c r="G317" i="5"/>
  <c r="I317" i="5" s="1"/>
  <c r="I318" i="5"/>
  <c r="G1301" i="4"/>
  <c r="I165" i="4"/>
  <c r="I1301" i="4" s="1"/>
  <c r="G271" i="4"/>
  <c r="I271" i="4" s="1"/>
  <c r="I272" i="4"/>
  <c r="G571" i="4"/>
  <c r="I571" i="4" s="1"/>
  <c r="I572" i="4"/>
  <c r="G855" i="4"/>
  <c r="I855" i="4" s="1"/>
  <c r="I856" i="4"/>
  <c r="G412" i="5"/>
  <c r="I412" i="5" s="1"/>
  <c r="I418" i="5"/>
  <c r="G1289" i="4"/>
  <c r="I246" i="4"/>
  <c r="I1289" i="4" s="1"/>
  <c r="G836" i="4"/>
  <c r="I836" i="4" s="1"/>
  <c r="I837" i="4"/>
  <c r="G399" i="4"/>
  <c r="I399" i="4" s="1"/>
  <c r="I400" i="4"/>
  <c r="G321" i="4"/>
  <c r="I321" i="4" s="1"/>
  <c r="I322" i="4"/>
  <c r="G476" i="4"/>
  <c r="I476" i="4" s="1"/>
  <c r="I477" i="4"/>
  <c r="G40" i="6"/>
  <c r="I40" i="6" s="1"/>
  <c r="I41" i="6"/>
  <c r="G1302" i="4"/>
  <c r="I170" i="4"/>
  <c r="I1302" i="4" s="1"/>
  <c r="G31" i="6"/>
  <c r="I32" i="6"/>
  <c r="F659" i="3"/>
  <c r="H660" i="3"/>
  <c r="F503" i="3"/>
  <c r="F836" i="3"/>
  <c r="H839" i="3"/>
  <c r="F182" i="3"/>
  <c r="H182" i="3" s="1"/>
  <c r="H183" i="3"/>
  <c r="F615" i="3"/>
  <c r="H615" i="3" s="1"/>
  <c r="H616" i="3"/>
  <c r="G440" i="5"/>
  <c r="I440" i="5" s="1"/>
  <c r="I441" i="5"/>
  <c r="G301" i="5"/>
  <c r="I301" i="5" s="1"/>
  <c r="I302" i="5"/>
  <c r="G448" i="5"/>
  <c r="I448" i="5" s="1"/>
  <c r="I449" i="5"/>
  <c r="G146" i="15"/>
  <c r="I161" i="4"/>
  <c r="G1188" i="4"/>
  <c r="I1188" i="4" s="1"/>
  <c r="I1189" i="4"/>
  <c r="H638" i="15"/>
  <c r="I727" i="4"/>
  <c r="G926" i="4"/>
  <c r="I926" i="4" s="1"/>
  <c r="I927" i="4"/>
  <c r="F503" i="14"/>
  <c r="F502" i="14" s="1"/>
  <c r="I637" i="4"/>
  <c r="G791" i="4"/>
  <c r="I791" i="4" s="1"/>
  <c r="I792" i="4"/>
  <c r="G1217" i="4"/>
  <c r="I1217" i="4" s="1"/>
  <c r="I1223" i="4"/>
  <c r="G700" i="4"/>
  <c r="I700" i="4" s="1"/>
  <c r="I701" i="4"/>
  <c r="G625" i="5"/>
  <c r="I625" i="5" s="1"/>
  <c r="I626" i="5"/>
  <c r="G309" i="5"/>
  <c r="I310" i="5"/>
  <c r="G738" i="5"/>
  <c r="I738" i="5" s="1"/>
  <c r="I739" i="5"/>
  <c r="F239" i="3"/>
  <c r="H239" i="3" s="1"/>
  <c r="H240" i="3"/>
  <c r="G226" i="5"/>
  <c r="I226" i="5" s="1"/>
  <c r="I227" i="5"/>
  <c r="F584" i="3"/>
  <c r="H584" i="3" s="1"/>
  <c r="H585" i="3"/>
  <c r="G579" i="5"/>
  <c r="I583" i="5"/>
  <c r="G192" i="4"/>
  <c r="I192" i="4" s="1"/>
  <c r="I193" i="4"/>
  <c r="G962" i="4"/>
  <c r="I962" i="4" s="1"/>
  <c r="I966" i="4"/>
  <c r="G458" i="4"/>
  <c r="I458" i="4" s="1"/>
  <c r="I459" i="4"/>
  <c r="G16" i="6"/>
  <c r="I17" i="6"/>
  <c r="G35" i="6"/>
  <c r="I36" i="6"/>
  <c r="G136" i="5"/>
  <c r="I137" i="5"/>
  <c r="G378" i="4"/>
  <c r="I378" i="4" s="1"/>
  <c r="I379" i="4"/>
  <c r="G814" i="5"/>
  <c r="I814" i="5" s="1"/>
  <c r="I813" i="5"/>
  <c r="F370" i="14"/>
  <c r="G370" i="14" s="1"/>
  <c r="H411" i="3"/>
  <c r="G624" i="4"/>
  <c r="I624" i="4" s="1"/>
  <c r="I1297" i="4" s="1"/>
  <c r="I625" i="4"/>
  <c r="F211" i="3"/>
  <c r="H211" i="3" s="1"/>
  <c r="H212" i="3"/>
  <c r="G28" i="10"/>
  <c r="G981" i="10" s="1"/>
  <c r="G1003" i="10"/>
  <c r="G1009" i="10" s="1"/>
  <c r="G277" i="10"/>
  <c r="G987" i="10" s="1"/>
  <c r="F269" i="3"/>
  <c r="H269" i="3" s="1"/>
  <c r="G784" i="10"/>
  <c r="G985" i="10" s="1"/>
  <c r="G937" i="4"/>
  <c r="G56" i="4"/>
  <c r="I56" i="4" s="1"/>
  <c r="G1266" i="4"/>
  <c r="L1268" i="4" s="1"/>
  <c r="G459" i="5"/>
  <c r="G1172" i="4"/>
  <c r="I1172" i="4" s="1"/>
  <c r="G830" i="4"/>
  <c r="G647" i="15"/>
  <c r="G736" i="4"/>
  <c r="I736" i="4" s="1"/>
  <c r="G156" i="4"/>
  <c r="I156" i="4" s="1"/>
  <c r="F228" i="3"/>
  <c r="H228" i="3" s="1"/>
  <c r="G389" i="10"/>
  <c r="G388" i="10" s="1"/>
  <c r="G988" i="10" s="1"/>
  <c r="G506" i="10"/>
  <c r="G986" i="10" s="1"/>
  <c r="G1010" i="4"/>
  <c r="I1010" i="4" s="1"/>
  <c r="G227" i="4"/>
  <c r="I227" i="4" s="1"/>
  <c r="I1263" i="4" s="1"/>
  <c r="G853" i="5"/>
  <c r="I853" i="5" s="1"/>
  <c r="H100" i="16"/>
  <c r="H99" i="16" s="1"/>
  <c r="H98" i="16" s="1"/>
  <c r="H97" i="16" s="1"/>
  <c r="H278" i="15"/>
  <c r="H277" i="15" s="1"/>
  <c r="G277" i="15"/>
  <c r="G276" i="15" s="1"/>
  <c r="G275" i="15" s="1"/>
  <c r="G594" i="14"/>
  <c r="G593" i="14" s="1"/>
  <c r="G592" i="14" s="1"/>
  <c r="G591" i="14" s="1"/>
  <c r="G1105" i="4"/>
  <c r="H48" i="14"/>
  <c r="G72" i="14"/>
  <c r="G704" i="4"/>
  <c r="I704" i="4" s="1"/>
  <c r="I32" i="14"/>
  <c r="G636" i="4"/>
  <c r="I636" i="4" s="1"/>
  <c r="G177" i="16"/>
  <c r="H219" i="16"/>
  <c r="H218" i="16" s="1"/>
  <c r="H217" i="16" s="1"/>
  <c r="H216" i="16" s="1"/>
  <c r="G616" i="5"/>
  <c r="F666" i="14"/>
  <c r="G348" i="4"/>
  <c r="I348" i="4" s="1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H572" i="15"/>
  <c r="F510" i="14"/>
  <c r="F509" i="14" s="1"/>
  <c r="G84" i="16"/>
  <c r="G83" i="16" s="1"/>
  <c r="G70" i="16"/>
  <c r="G69" i="16" s="1"/>
  <c r="G20" i="5"/>
  <c r="I20" i="5" s="1"/>
  <c r="H84" i="15"/>
  <c r="G673" i="10"/>
  <c r="F281" i="14"/>
  <c r="G281" i="14" s="1"/>
  <c r="F313" i="3"/>
  <c r="G839" i="15"/>
  <c r="G27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75" i="4"/>
  <c r="I75" i="4" s="1"/>
  <c r="G659" i="4"/>
  <c r="I659" i="4" s="1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717" i="14"/>
  <c r="G801" i="4"/>
  <c r="I801" i="4" s="1"/>
  <c r="I1269" i="4" s="1"/>
  <c r="H183" i="15"/>
  <c r="H182" i="15" s="1"/>
  <c r="G77" i="14"/>
  <c r="H183" i="16"/>
  <c r="H182" i="16" s="1"/>
  <c r="H177" i="16" s="1"/>
  <c r="H79" i="15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G245" i="4"/>
  <c r="I245" i="4" s="1"/>
  <c r="G185" i="4"/>
  <c r="I185" i="4" s="1"/>
  <c r="H29" i="16"/>
  <c r="G955" i="14"/>
  <c r="F955" i="14"/>
  <c r="F410" i="3"/>
  <c r="F191" i="3"/>
  <c r="F164" i="3"/>
  <c r="H164" i="3" s="1"/>
  <c r="G812" i="5"/>
  <c r="G160" i="16"/>
  <c r="G319" i="5"/>
  <c r="I319" i="5" s="1"/>
  <c r="G493" i="5"/>
  <c r="I493" i="5" s="1"/>
  <c r="G1026" i="4"/>
  <c r="I1026" i="4" s="1"/>
  <c r="H160" i="16"/>
  <c r="G570" i="4"/>
  <c r="I570" i="4" s="1"/>
  <c r="G652" i="16"/>
  <c r="F11" i="3"/>
  <c r="H11" i="3" s="1"/>
  <c r="G301" i="4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H569" i="15"/>
  <c r="G649" i="4"/>
  <c r="I649" i="4" s="1"/>
  <c r="H600" i="15"/>
  <c r="H599" i="15" s="1"/>
  <c r="G600" i="15"/>
  <c r="G599" i="15" s="1"/>
  <c r="H635" i="15"/>
  <c r="H634" i="15" s="1"/>
  <c r="G634" i="15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H878" i="15"/>
  <c r="H877" i="15" s="1"/>
  <c r="H876" i="15" s="1"/>
  <c r="H875" i="15" s="1"/>
  <c r="G877" i="15"/>
  <c r="G876" i="15" s="1"/>
  <c r="G875" i="15" s="1"/>
  <c r="G891" i="15"/>
  <c r="G890" i="15" s="1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1076" i="3"/>
  <c r="H1076" i="3" s="1"/>
  <c r="G1216" i="4"/>
  <c r="I1216" i="4" s="1"/>
  <c r="G608" i="4"/>
  <c r="F820" i="3"/>
  <c r="G723" i="4"/>
  <c r="I723" i="4" s="1"/>
  <c r="F85" i="3"/>
  <c r="H85" i="3" s="1"/>
  <c r="G73" i="5"/>
  <c r="G161" i="5"/>
  <c r="G405" i="5"/>
  <c r="I405" i="5" s="1"/>
  <c r="G108" i="5"/>
  <c r="I108" i="5" s="1"/>
  <c r="G106" i="5"/>
  <c r="G849" i="4"/>
  <c r="G1069" i="4"/>
  <c r="I1069" i="4" s="1"/>
  <c r="H1148" i="15"/>
  <c r="G1148" i="15"/>
  <c r="H1149" i="15"/>
  <c r="G1149" i="15"/>
  <c r="G410" i="4"/>
  <c r="G907" i="4"/>
  <c r="G507" i="4"/>
  <c r="I507" i="4" s="1"/>
  <c r="G920" i="4"/>
  <c r="I920" i="4" s="1"/>
  <c r="G233" i="4"/>
  <c r="I233" i="4" s="1"/>
  <c r="I1287" i="4" s="1"/>
  <c r="G688" i="4"/>
  <c r="I688" i="4" s="1"/>
  <c r="G1208" i="4"/>
  <c r="I1208" i="4" s="1"/>
  <c r="G371" i="4"/>
  <c r="I371" i="4" s="1"/>
  <c r="G591" i="4"/>
  <c r="I591" i="4" s="1"/>
  <c r="G952" i="4"/>
  <c r="G253" i="4"/>
  <c r="G139" i="4"/>
  <c r="I139" i="4" s="1"/>
  <c r="G1065" i="4"/>
  <c r="I1065" i="4" s="1"/>
  <c r="G929" i="15"/>
  <c r="G989" i="4"/>
  <c r="I989" i="4" s="1"/>
  <c r="G900" i="4"/>
  <c r="I900" i="4" s="1"/>
  <c r="G1136" i="15"/>
  <c r="G471" i="4"/>
  <c r="I471" i="4" s="1"/>
  <c r="F370" i="3"/>
  <c r="H370" i="3" s="1"/>
  <c r="G240" i="4"/>
  <c r="I240" i="4" s="1"/>
  <c r="G1236" i="4"/>
  <c r="I1236" i="4" s="1"/>
  <c r="G815" i="4"/>
  <c r="I815" i="4" s="1"/>
  <c r="G512" i="4"/>
  <c r="G601" i="4"/>
  <c r="I601" i="4" s="1"/>
  <c r="I1256" i="4" s="1"/>
  <c r="G12" i="4"/>
  <c r="I12" i="4" s="1"/>
  <c r="G1057" i="4"/>
  <c r="I1057" i="4" s="1"/>
  <c r="H920" i="15"/>
  <c r="G779" i="4"/>
  <c r="I779" i="4" s="1"/>
  <c r="G784" i="4"/>
  <c r="I784" i="4" s="1"/>
  <c r="G452" i="4"/>
  <c r="I452" i="4" s="1"/>
  <c r="G494" i="4"/>
  <c r="G1061" i="4"/>
  <c r="I1061" i="4" s="1"/>
  <c r="G119" i="4"/>
  <c r="I119" i="4" s="1"/>
  <c r="G981" i="4"/>
  <c r="I981" i="4" s="1"/>
  <c r="G901" i="5"/>
  <c r="I901" i="5" s="1"/>
  <c r="G918" i="5"/>
  <c r="I918" i="5" s="1"/>
  <c r="G972" i="5"/>
  <c r="I972" i="5" s="1"/>
  <c r="G321" i="5"/>
  <c r="G247" i="5"/>
  <c r="I247" i="5" s="1"/>
  <c r="G483" i="5"/>
  <c r="I483" i="5" s="1"/>
  <c r="G237" i="5"/>
  <c r="I237" i="5" s="1"/>
  <c r="G295" i="5"/>
  <c r="I295" i="5" s="1"/>
  <c r="G177" i="4"/>
  <c r="I177" i="4" s="1"/>
  <c r="G949" i="5"/>
  <c r="I949" i="5" s="1"/>
  <c r="G837" i="5"/>
  <c r="I837" i="5" s="1"/>
  <c r="G233" i="5"/>
  <c r="I233" i="5" s="1"/>
  <c r="G266" i="5"/>
  <c r="G277" i="5"/>
  <c r="I277" i="5" s="1"/>
  <c r="G896" i="5"/>
  <c r="I896" i="5" s="1"/>
  <c r="G965" i="5"/>
  <c r="I965" i="5" s="1"/>
  <c r="F50" i="3"/>
  <c r="H50" i="3" s="1"/>
  <c r="F75" i="3"/>
  <c r="H75" i="3" s="1"/>
  <c r="G281" i="5"/>
  <c r="I281" i="5" s="1"/>
  <c r="G251" i="5"/>
  <c r="I251" i="5" s="1"/>
  <c r="G259" i="5"/>
  <c r="I259" i="5" s="1"/>
  <c r="G290" i="5"/>
  <c r="G745" i="5"/>
  <c r="I745" i="5" s="1"/>
  <c r="G930" i="5"/>
  <c r="I930" i="5" s="1"/>
  <c r="G880" i="5"/>
  <c r="I880" i="5" s="1"/>
  <c r="G924" i="5"/>
  <c r="I924" i="5" s="1"/>
  <c r="G911" i="5"/>
  <c r="I911" i="5" s="1"/>
  <c r="G891" i="5"/>
  <c r="I891" i="5" s="1"/>
  <c r="G824" i="5"/>
  <c r="I824" i="5" s="1"/>
  <c r="G683" i="5"/>
  <c r="I683" i="5" s="1"/>
  <c r="G68" i="5"/>
  <c r="I68" i="5" s="1"/>
  <c r="F800" i="3"/>
  <c r="F406" i="3"/>
  <c r="H406" i="3" s="1"/>
  <c r="G366" i="14"/>
  <c r="F238" i="3"/>
  <c r="H238" i="3" s="1"/>
  <c r="F237" i="3"/>
  <c r="H237" i="3" s="1"/>
  <c r="F699" i="3"/>
  <c r="H699" i="3" s="1"/>
  <c r="F757" i="3"/>
  <c r="F660" i="14"/>
  <c r="G660" i="14" s="1"/>
  <c r="F639" i="3"/>
  <c r="H639" i="3" s="1"/>
  <c r="F266" i="3"/>
  <c r="H266" i="3" s="1"/>
  <c r="F773" i="3"/>
  <c r="H773" i="3" s="1"/>
  <c r="F723" i="3"/>
  <c r="H723" i="3" s="1"/>
  <c r="F465" i="3"/>
  <c r="H465" i="3" s="1"/>
  <c r="F453" i="3"/>
  <c r="H453" i="3" s="1"/>
  <c r="F842" i="3"/>
  <c r="F1005" i="3"/>
  <c r="H1005" i="3" s="1"/>
  <c r="F632" i="3"/>
  <c r="H632" i="3" s="1"/>
  <c r="F555" i="3"/>
  <c r="H555" i="3" s="1"/>
  <c r="F623" i="3"/>
  <c r="H623" i="3" s="1"/>
  <c r="F402" i="3"/>
  <c r="H402" i="3" s="1"/>
  <c r="F414" i="3"/>
  <c r="H414" i="3" s="1"/>
  <c r="G374" i="14"/>
  <c r="F561" i="3"/>
  <c r="H561" i="3" s="1"/>
  <c r="F770" i="3"/>
  <c r="H770" i="3" s="1"/>
  <c r="F1115" i="3"/>
  <c r="H1115" i="3" s="1"/>
  <c r="F363" i="3"/>
  <c r="H363" i="3" s="1"/>
  <c r="F767" i="3"/>
  <c r="H767" i="3" s="1"/>
  <c r="F869" i="3"/>
  <c r="G275" i="14"/>
  <c r="G270" i="14" s="1"/>
  <c r="G269" i="14" s="1"/>
  <c r="F80" i="3"/>
  <c r="F603" i="3"/>
  <c r="H603" i="3" s="1"/>
  <c r="F1059" i="3"/>
  <c r="H1059" i="3" s="1"/>
  <c r="F953" i="3"/>
  <c r="H953" i="3" s="1"/>
  <c r="F581" i="3"/>
  <c r="H581" i="3" s="1"/>
  <c r="F531" i="3"/>
  <c r="F323" i="3"/>
  <c r="H323" i="3" s="1"/>
  <c r="F242" i="3"/>
  <c r="H242" i="3" s="1"/>
  <c r="F1065" i="3"/>
  <c r="F972" i="3"/>
  <c r="H972" i="3" s="1"/>
  <c r="F814" i="3"/>
  <c r="F642" i="3"/>
  <c r="H642" i="3" s="1"/>
  <c r="F648" i="3"/>
  <c r="H648" i="3" s="1"/>
  <c r="F303" i="3"/>
  <c r="H303" i="3" s="1"/>
  <c r="F59" i="3"/>
  <c r="H59" i="3" s="1"/>
  <c r="F493" i="3"/>
  <c r="H493" i="3" s="1"/>
  <c r="F36" i="3"/>
  <c r="F355" i="3"/>
  <c r="H355" i="3" s="1"/>
  <c r="F321" i="14"/>
  <c r="F114" i="3"/>
  <c r="H114" i="3" s="1"/>
  <c r="F934" i="3"/>
  <c r="H934" i="3" s="1"/>
  <c r="F717" i="3"/>
  <c r="H717" i="3" s="1"/>
  <c r="F360" i="3"/>
  <c r="H360" i="3" s="1"/>
  <c r="F450" i="3"/>
  <c r="F916" i="3"/>
  <c r="H916" i="3" s="1"/>
  <c r="F694" i="3"/>
  <c r="H694" i="3" s="1"/>
  <c r="F1091" i="3"/>
  <c r="H1091" i="3" s="1"/>
  <c r="F655" i="3"/>
  <c r="H655" i="3" s="1"/>
  <c r="F731" i="3"/>
  <c r="H731" i="3" s="1"/>
  <c r="F568" i="3"/>
  <c r="H568" i="3" s="1"/>
  <c r="G807" i="5"/>
  <c r="I807" i="5" s="1"/>
  <c r="G805" i="5"/>
  <c r="I805" i="5" s="1"/>
  <c r="G729" i="5"/>
  <c r="I729" i="5" s="1"/>
  <c r="G727" i="5"/>
  <c r="I727" i="5" s="1"/>
  <c r="G800" i="5"/>
  <c r="I800" i="5" s="1"/>
  <c r="G798" i="5"/>
  <c r="I798" i="5" s="1"/>
  <c r="G821" i="5"/>
  <c r="I821" i="5" s="1"/>
  <c r="G819" i="5"/>
  <c r="I819" i="5" s="1"/>
  <c r="G497" i="5"/>
  <c r="I497" i="5" s="1"/>
  <c r="G542" i="5"/>
  <c r="G404" i="5"/>
  <c r="I404" i="5" s="1"/>
  <c r="G219" i="5"/>
  <c r="I219" i="5" s="1"/>
  <c r="G221" i="5"/>
  <c r="I221" i="5" s="1"/>
  <c r="G198" i="5"/>
  <c r="I198" i="5" s="1"/>
  <c r="G200" i="5"/>
  <c r="I200" i="5" s="1"/>
  <c r="G210" i="5"/>
  <c r="I210" i="5" s="1"/>
  <c r="G212" i="5"/>
  <c r="I212" i="5" s="1"/>
  <c r="G185" i="5"/>
  <c r="I185" i="5" s="1"/>
  <c r="G187" i="5"/>
  <c r="I187" i="5" s="1"/>
  <c r="G177" i="5"/>
  <c r="I177" i="5" s="1"/>
  <c r="G179" i="5"/>
  <c r="I179" i="5" s="1"/>
  <c r="G47" i="5"/>
  <c r="I47" i="5" s="1"/>
  <c r="G49" i="5"/>
  <c r="I49" i="5" s="1"/>
  <c r="G830" i="5"/>
  <c r="I830" i="5" s="1"/>
  <c r="G33" i="5"/>
  <c r="I33" i="5" s="1"/>
  <c r="F1100" i="3"/>
  <c r="F205" i="3"/>
  <c r="G999" i="4"/>
  <c r="I999" i="4" s="1"/>
  <c r="G994" i="4"/>
  <c r="I988" i="10"/>
  <c r="I989" i="10"/>
  <c r="I987" i="10"/>
  <c r="G534" i="11"/>
  <c r="G623" i="4" l="1"/>
  <c r="I623" i="4" s="1"/>
  <c r="G1297" i="4"/>
  <c r="G316" i="5"/>
  <c r="I316" i="5" s="1"/>
  <c r="G490" i="5"/>
  <c r="I490" i="5" s="1"/>
  <c r="G1284" i="4"/>
  <c r="I994" i="4"/>
  <c r="I1284" i="4" s="1"/>
  <c r="F799" i="3"/>
  <c r="H799" i="3" s="1"/>
  <c r="H800" i="3"/>
  <c r="G615" i="5"/>
  <c r="I616" i="5"/>
  <c r="I1105" i="4"/>
  <c r="G829" i="4"/>
  <c r="I829" i="4" s="1"/>
  <c r="I830" i="4"/>
  <c r="G458" i="5"/>
  <c r="I459" i="5"/>
  <c r="G135" i="5"/>
  <c r="I136" i="5"/>
  <c r="G34" i="6"/>
  <c r="I34" i="6" s="1"/>
  <c r="I35" i="6"/>
  <c r="I16" i="6"/>
  <c r="G575" i="5"/>
  <c r="I579" i="5"/>
  <c r="G308" i="5"/>
  <c r="I308" i="5" s="1"/>
  <c r="I309" i="5"/>
  <c r="F832" i="3"/>
  <c r="H832" i="3" s="1"/>
  <c r="H836" i="3"/>
  <c r="G1100" i="4"/>
  <c r="I1100" i="4" s="1"/>
  <c r="I1294" i="4" s="1"/>
  <c r="F204" i="3"/>
  <c r="H204" i="3" s="1"/>
  <c r="H205" i="3"/>
  <c r="F449" i="3"/>
  <c r="H450" i="3"/>
  <c r="F530" i="3"/>
  <c r="H530" i="3" s="1"/>
  <c r="H531" i="3"/>
  <c r="F841" i="3"/>
  <c r="H841" i="3" s="1"/>
  <c r="H842" i="3"/>
  <c r="F753" i="3"/>
  <c r="H753" i="3" s="1"/>
  <c r="H757" i="3"/>
  <c r="G320" i="5"/>
  <c r="I320" i="5" s="1"/>
  <c r="I321" i="5"/>
  <c r="G951" i="4"/>
  <c r="I951" i="4" s="1"/>
  <c r="I952" i="4"/>
  <c r="I1293" i="4"/>
  <c r="G1278" i="4"/>
  <c r="I907" i="4"/>
  <c r="I1278" i="4" s="1"/>
  <c r="G105" i="5"/>
  <c r="I106" i="5"/>
  <c r="G72" i="5"/>
  <c r="I72" i="5" s="1"/>
  <c r="I73" i="5"/>
  <c r="G607" i="4"/>
  <c r="I607" i="4" s="1"/>
  <c r="I608" i="4"/>
  <c r="G300" i="4"/>
  <c r="I300" i="4" s="1"/>
  <c r="I301" i="4"/>
  <c r="F190" i="3"/>
  <c r="H190" i="3" s="1"/>
  <c r="H191" i="3"/>
  <c r="F1099" i="3"/>
  <c r="H1099" i="3" s="1"/>
  <c r="H1100" i="3"/>
  <c r="G541" i="5"/>
  <c r="I541" i="5" s="1"/>
  <c r="I542" i="5"/>
  <c r="F30" i="3"/>
  <c r="H30" i="3" s="1"/>
  <c r="H36" i="3"/>
  <c r="F813" i="3"/>
  <c r="H813" i="3" s="1"/>
  <c r="H814" i="3"/>
  <c r="F1064" i="3"/>
  <c r="H1064" i="3" s="1"/>
  <c r="H1065" i="3"/>
  <c r="F63" i="14"/>
  <c r="H80" i="3"/>
  <c r="F857" i="3"/>
  <c r="H857" i="3" s="1"/>
  <c r="H869" i="3"/>
  <c r="G285" i="5"/>
  <c r="I285" i="5" s="1"/>
  <c r="I290" i="5"/>
  <c r="G315" i="5"/>
  <c r="I315" i="5" s="1"/>
  <c r="G265" i="5"/>
  <c r="I265" i="5" s="1"/>
  <c r="I266" i="5"/>
  <c r="G493" i="4"/>
  <c r="I493" i="4" s="1"/>
  <c r="I494" i="4"/>
  <c r="G511" i="4"/>
  <c r="I511" i="4" s="1"/>
  <c r="I512" i="4"/>
  <c r="G1275" i="4"/>
  <c r="I253" i="4"/>
  <c r="I1275" i="4" s="1"/>
  <c r="I1282" i="4" s="1"/>
  <c r="G398" i="4"/>
  <c r="I398" i="4" s="1"/>
  <c r="I410" i="4"/>
  <c r="G848" i="4"/>
  <c r="I848" i="4" s="1"/>
  <c r="I849" i="4"/>
  <c r="G160" i="5"/>
  <c r="I161" i="5"/>
  <c r="F819" i="3"/>
  <c r="H819" i="3" s="1"/>
  <c r="H820" i="3"/>
  <c r="F312" i="3"/>
  <c r="H312" i="3" s="1"/>
  <c r="H313" i="3"/>
  <c r="G936" i="4"/>
  <c r="I936" i="4" s="1"/>
  <c r="I937" i="4"/>
  <c r="F502" i="3"/>
  <c r="H502" i="3" s="1"/>
  <c r="H503" i="3"/>
  <c r="F658" i="3"/>
  <c r="H658" i="3" s="1"/>
  <c r="H659" i="3"/>
  <c r="G30" i="6"/>
  <c r="I31" i="6"/>
  <c r="F662" i="3"/>
  <c r="H662" i="3" s="1"/>
  <c r="H663" i="3"/>
  <c r="G263" i="4"/>
  <c r="I263" i="4" s="1"/>
  <c r="I264" i="4"/>
  <c r="G149" i="5"/>
  <c r="I149" i="5" s="1"/>
  <c r="I150" i="5"/>
  <c r="F409" i="3"/>
  <c r="H409" i="3" s="1"/>
  <c r="H410" i="3"/>
  <c r="G811" i="5"/>
  <c r="I811" i="5" s="1"/>
  <c r="I812" i="5"/>
  <c r="G748" i="10"/>
  <c r="G220" i="10"/>
  <c r="H568" i="15"/>
  <c r="G1249" i="4"/>
  <c r="G498" i="10"/>
  <c r="G321" i="14"/>
  <c r="F320" i="14"/>
  <c r="F1075" i="3"/>
  <c r="F716" i="3"/>
  <c r="H716" i="3" s="1"/>
  <c r="F49" i="3"/>
  <c r="H49" i="3" s="1"/>
  <c r="F10" i="3"/>
  <c r="G1056" i="4"/>
  <c r="G790" i="4"/>
  <c r="I790" i="4" s="1"/>
  <c r="G1269" i="4"/>
  <c r="G1256" i="4"/>
  <c r="F491" i="3"/>
  <c r="H491" i="3" s="1"/>
  <c r="H648" i="15"/>
  <c r="H647" i="15" s="1"/>
  <c r="H610" i="15" s="1"/>
  <c r="K1269" i="4"/>
  <c r="G879" i="4"/>
  <c r="I879" i="4" s="1"/>
  <c r="I1291" i="4" s="1"/>
  <c r="K1272" i="4"/>
  <c r="K1267" i="4"/>
  <c r="G1263" i="4"/>
  <c r="K1265" i="4"/>
  <c r="G631" i="4"/>
  <c r="G699" i="4"/>
  <c r="F354" i="3"/>
  <c r="H354" i="3" s="1"/>
  <c r="H30" i="16"/>
  <c r="H207" i="15"/>
  <c r="H1109" i="15" s="1"/>
  <c r="G1140" i="15"/>
  <c r="H1140" i="15"/>
  <c r="F10" i="14"/>
  <c r="D12" i="13" s="1"/>
  <c r="G543" i="14"/>
  <c r="G542" i="14" s="1"/>
  <c r="G610" i="15"/>
  <c r="G609" i="15" s="1"/>
  <c r="F542" i="14"/>
  <c r="D34" i="13" s="1"/>
  <c r="G1293" i="4"/>
  <c r="G647" i="16"/>
  <c r="G646" i="16" s="1"/>
  <c r="G645" i="16" s="1"/>
  <c r="G644" i="16" s="1"/>
  <c r="H959" i="15"/>
  <c r="G959" i="15"/>
  <c r="G12" i="14"/>
  <c r="G11" i="14" s="1"/>
  <c r="G10" i="14" s="1"/>
  <c r="E12" i="13" s="1"/>
  <c r="H64" i="14"/>
  <c r="H215" i="16"/>
  <c r="F619" i="3"/>
  <c r="H619" i="3" s="1"/>
  <c r="H1112" i="15"/>
  <c r="G397" i="4"/>
  <c r="I397" i="4" s="1"/>
  <c r="H276" i="15"/>
  <c r="H275" i="15" s="1"/>
  <c r="H274" i="15" s="1"/>
  <c r="H273" i="15" s="1"/>
  <c r="G320" i="4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21" i="15"/>
  <c r="G720" i="15" s="1"/>
  <c r="H70" i="15"/>
  <c r="G55" i="4"/>
  <c r="H839" i="15"/>
  <c r="H835" i="15" s="1"/>
  <c r="H834" i="15" s="1"/>
  <c r="H833" i="15" s="1"/>
  <c r="H832" i="15" s="1"/>
  <c r="G991" i="10"/>
  <c r="H444" i="16"/>
  <c r="H443" i="16" s="1"/>
  <c r="H442" i="16" s="1"/>
  <c r="H441" i="16" s="1"/>
  <c r="H440" i="16" s="1"/>
  <c r="H556" i="16"/>
  <c r="H555" i="16" s="1"/>
  <c r="H548" i="16"/>
  <c r="H547" i="16" s="1"/>
  <c r="G370" i="4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155" i="16"/>
  <c r="H154" i="16" s="1"/>
  <c r="H153" i="16" s="1"/>
  <c r="H142" i="16" s="1"/>
  <c r="H141" i="16" s="1"/>
  <c r="H860" i="16"/>
  <c r="G252" i="4"/>
  <c r="H451" i="16"/>
  <c r="H450" i="16" s="1"/>
  <c r="H449" i="16" s="1"/>
  <c r="H448" i="16" s="1"/>
  <c r="H447" i="16" s="1"/>
  <c r="G184" i="4"/>
  <c r="G216" i="4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68" i="3"/>
  <c r="H68" i="3" s="1"/>
  <c r="G226" i="4"/>
  <c r="F369" i="14"/>
  <c r="F368" i="14" s="1"/>
  <c r="F47" i="14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1009" i="4"/>
  <c r="G264" i="5"/>
  <c r="I264" i="5" s="1"/>
  <c r="G925" i="4"/>
  <c r="I925" i="4" s="1"/>
  <c r="G852" i="5"/>
  <c r="G232" i="5"/>
  <c r="I232" i="5" s="1"/>
  <c r="G118" i="4"/>
  <c r="I118" i="4" s="1"/>
  <c r="G239" i="4"/>
  <c r="I239" i="4" s="1"/>
  <c r="G299" i="4"/>
  <c r="I299" i="4" s="1"/>
  <c r="H1131" i="15"/>
  <c r="G1131" i="15"/>
  <c r="G11" i="4"/>
  <c r="G1235" i="4"/>
  <c r="I1235" i="4" s="1"/>
  <c r="G569" i="4"/>
  <c r="I569" i="4" s="1"/>
  <c r="G138" i="4"/>
  <c r="I138" i="4" s="1"/>
  <c r="G590" i="4"/>
  <c r="I590" i="4" s="1"/>
  <c r="G1207" i="4"/>
  <c r="I1207" i="4" s="1"/>
  <c r="G1287" i="4"/>
  <c r="G919" i="4"/>
  <c r="G606" i="4"/>
  <c r="I606" i="4" s="1"/>
  <c r="G1215" i="4"/>
  <c r="I1215" i="4" s="1"/>
  <c r="G1157" i="4"/>
  <c r="I1157" i="4" s="1"/>
  <c r="G600" i="4"/>
  <c r="I600" i="4" s="1"/>
  <c r="I1300" i="4" s="1"/>
  <c r="G988" i="4"/>
  <c r="I988" i="4" s="1"/>
  <c r="G506" i="4"/>
  <c r="G835" i="4"/>
  <c r="I835" i="4" s="1"/>
  <c r="G1299" i="4"/>
  <c r="G823" i="5"/>
  <c r="G961" i="4"/>
  <c r="I961" i="4" s="1"/>
  <c r="G622" i="4"/>
  <c r="I622" i="4" s="1"/>
  <c r="G980" i="4"/>
  <c r="I980" i="4" s="1"/>
  <c r="F554" i="3"/>
  <c r="H554" i="3" s="1"/>
  <c r="G246" i="5"/>
  <c r="I246" i="5" s="1"/>
  <c r="G829" i="5"/>
  <c r="I829" i="5" s="1"/>
  <c r="G176" i="5"/>
  <c r="I176" i="5" s="1"/>
  <c r="G209" i="5"/>
  <c r="I209" i="5" s="1"/>
  <c r="G218" i="5"/>
  <c r="G496" i="5"/>
  <c r="I496" i="5" s="1"/>
  <c r="G929" i="5"/>
  <c r="I929" i="5" s="1"/>
  <c r="G917" i="5"/>
  <c r="I917" i="5" s="1"/>
  <c r="G797" i="5"/>
  <c r="I797" i="5" s="1"/>
  <c r="G804" i="5"/>
  <c r="I804" i="5" s="1"/>
  <c r="G890" i="5"/>
  <c r="I890" i="5" s="1"/>
  <c r="G836" i="5"/>
  <c r="I836" i="5" s="1"/>
  <c r="G818" i="5"/>
  <c r="I818" i="5" s="1"/>
  <c r="G720" i="5"/>
  <c r="G964" i="5"/>
  <c r="I964" i="5" s="1"/>
  <c r="G300" i="5"/>
  <c r="I300" i="5" s="1"/>
  <c r="G176" i="4"/>
  <c r="I176" i="4" s="1"/>
  <c r="G682" i="5"/>
  <c r="G927" i="5"/>
  <c r="I927" i="5" s="1"/>
  <c r="G923" i="5"/>
  <c r="I923" i="5" s="1"/>
  <c r="G439" i="5"/>
  <c r="I439" i="5" s="1"/>
  <c r="G294" i="5"/>
  <c r="I294" i="5" s="1"/>
  <c r="G971" i="5"/>
  <c r="I971" i="5" s="1"/>
  <c r="G19" i="5"/>
  <c r="I19" i="5" s="1"/>
  <c r="G948" i="5"/>
  <c r="I948" i="5" s="1"/>
  <c r="G184" i="5"/>
  <c r="I184" i="5" s="1"/>
  <c r="G197" i="5"/>
  <c r="I197" i="5" s="1"/>
  <c r="G272" i="5"/>
  <c r="I272" i="5" s="1"/>
  <c r="G67" i="5"/>
  <c r="I67" i="5" s="1"/>
  <c r="G910" i="5"/>
  <c r="I910" i="5" s="1"/>
  <c r="G879" i="5"/>
  <c r="I879" i="5" s="1"/>
  <c r="G489" i="5"/>
  <c r="I489" i="5" s="1"/>
  <c r="G520" i="5"/>
  <c r="I520" i="5" s="1"/>
  <c r="G478" i="5"/>
  <c r="I478" i="5" s="1"/>
  <c r="F1004" i="3"/>
  <c r="H1004" i="3" s="1"/>
  <c r="F517" i="3"/>
  <c r="H517" i="3" s="1"/>
  <c r="F730" i="3"/>
  <c r="H730" i="3" s="1"/>
  <c r="F1090" i="3"/>
  <c r="F812" i="3"/>
  <c r="H812" i="3" s="1"/>
  <c r="F322" i="3"/>
  <c r="H322" i="3" s="1"/>
  <c r="F1058" i="3"/>
  <c r="H1058" i="3" s="1"/>
  <c r="F307" i="3"/>
  <c r="H307" i="3" s="1"/>
  <c r="F1114" i="3"/>
  <c r="H1114" i="3" s="1"/>
  <c r="F766" i="3"/>
  <c r="F818" i="3"/>
  <c r="H818" i="3" s="1"/>
  <c r="F413" i="3"/>
  <c r="H413" i="3" s="1"/>
  <c r="F405" i="3"/>
  <c r="H405" i="3" s="1"/>
  <c r="F181" i="3"/>
  <c r="H181" i="3" s="1"/>
  <c r="F638" i="3"/>
  <c r="H638" i="3" s="1"/>
  <c r="F262" i="3"/>
  <c r="H262" i="3" s="1"/>
  <c r="F577" i="3"/>
  <c r="H577" i="3" s="1"/>
  <c r="F567" i="3"/>
  <c r="H567" i="3" s="1"/>
  <c r="F651" i="3"/>
  <c r="H651" i="3" s="1"/>
  <c r="F668" i="3"/>
  <c r="H668" i="3" s="1"/>
  <c r="F929" i="3"/>
  <c r="H929" i="3" s="1"/>
  <c r="F113" i="3"/>
  <c r="F108" i="14"/>
  <c r="F492" i="3"/>
  <c r="H492" i="3" s="1"/>
  <c r="F302" i="3"/>
  <c r="H302" i="3" s="1"/>
  <c r="F971" i="3"/>
  <c r="H971" i="3" s="1"/>
  <c r="F952" i="3"/>
  <c r="H952" i="3" s="1"/>
  <c r="F401" i="3"/>
  <c r="H401" i="3" s="1"/>
  <c r="G32" i="5"/>
  <c r="I32" i="5" s="1"/>
  <c r="G46" i="5"/>
  <c r="G11" i="5"/>
  <c r="I981" i="10"/>
  <c r="G993" i="4"/>
  <c r="I993" i="4" s="1"/>
  <c r="G45" i="5" l="1"/>
  <c r="I45" i="5" s="1"/>
  <c r="I46" i="5"/>
  <c r="F112" i="3"/>
  <c r="H112" i="3" s="1"/>
  <c r="H113" i="3"/>
  <c r="F738" i="3"/>
  <c r="H738" i="3" s="1"/>
  <c r="H766" i="3"/>
  <c r="F1089" i="3"/>
  <c r="H1089" i="3" s="1"/>
  <c r="H1090" i="3"/>
  <c r="G675" i="5"/>
  <c r="I682" i="5"/>
  <c r="G715" i="5"/>
  <c r="I720" i="5"/>
  <c r="G10" i="4"/>
  <c r="I10" i="4" s="1"/>
  <c r="I11" i="4"/>
  <c r="G1008" i="4"/>
  <c r="I1008" i="4" s="1"/>
  <c r="I1009" i="4"/>
  <c r="G225" i="4"/>
  <c r="I225" i="4" s="1"/>
  <c r="I226" i="4"/>
  <c r="G215" i="4"/>
  <c r="I215" i="4" s="1"/>
  <c r="I216" i="4"/>
  <c r="I1295" i="4" s="1"/>
  <c r="G698" i="4"/>
  <c r="I698" i="4" s="1"/>
  <c r="I699" i="4"/>
  <c r="F9" i="3"/>
  <c r="H10" i="3"/>
  <c r="G29" i="6"/>
  <c r="I30" i="6"/>
  <c r="I1249" i="4"/>
  <c r="G104" i="5"/>
  <c r="I104" i="5" s="1"/>
  <c r="I105" i="5"/>
  <c r="I575" i="5"/>
  <c r="G574" i="5"/>
  <c r="G134" i="5"/>
  <c r="I135" i="5"/>
  <c r="G457" i="5"/>
  <c r="I457" i="5" s="1"/>
  <c r="I458" i="5"/>
  <c r="G217" i="5"/>
  <c r="I217" i="5" s="1"/>
  <c r="I218" i="5"/>
  <c r="G505" i="4"/>
  <c r="I505" i="4" s="1"/>
  <c r="I506" i="4"/>
  <c r="G1298" i="4"/>
  <c r="I919" i="4"/>
  <c r="I1298" i="4" s="1"/>
  <c r="G183" i="4"/>
  <c r="I183" i="4" s="1"/>
  <c r="I184" i="4"/>
  <c r="G251" i="4"/>
  <c r="I252" i="4"/>
  <c r="G369" i="4"/>
  <c r="I369" i="4" s="1"/>
  <c r="I370" i="4"/>
  <c r="G54" i="4"/>
  <c r="I54" i="4" s="1"/>
  <c r="I55" i="4"/>
  <c r="G319" i="4"/>
  <c r="I319" i="4" s="1"/>
  <c r="I320" i="4"/>
  <c r="I1292" i="4" s="1"/>
  <c r="G630" i="4"/>
  <c r="I630" i="4" s="1"/>
  <c r="I631" i="4"/>
  <c r="I1286" i="4" s="1"/>
  <c r="G1025" i="4"/>
  <c r="I1025" i="4" s="1"/>
  <c r="I1056" i="4"/>
  <c r="I1296" i="4" s="1"/>
  <c r="F1074" i="3"/>
  <c r="H1074" i="3" s="1"/>
  <c r="H1075" i="3"/>
  <c r="G148" i="5"/>
  <c r="I148" i="5" s="1"/>
  <c r="I160" i="5"/>
  <c r="H449" i="3"/>
  <c r="F444" i="3"/>
  <c r="H444" i="3" s="1"/>
  <c r="G1294" i="4"/>
  <c r="G614" i="5"/>
  <c r="I614" i="5" s="1"/>
  <c r="I615" i="5"/>
  <c r="G810" i="5"/>
  <c r="I810" i="5" s="1"/>
  <c r="G822" i="5"/>
  <c r="I822" i="5" s="1"/>
  <c r="I823" i="5"/>
  <c r="G851" i="5"/>
  <c r="I851" i="5" s="1"/>
  <c r="I852" i="5"/>
  <c r="H1104" i="15"/>
  <c r="G975" i="10"/>
  <c r="G977" i="10" s="1"/>
  <c r="G295" i="15"/>
  <c r="G294" i="15" s="1"/>
  <c r="F319" i="14"/>
  <c r="G320" i="14"/>
  <c r="F705" i="3"/>
  <c r="F400" i="3"/>
  <c r="L1269" i="4"/>
  <c r="G1282" i="4"/>
  <c r="F438" i="3"/>
  <c r="F549" i="3"/>
  <c r="H549" i="3" s="1"/>
  <c r="G1115" i="15"/>
  <c r="G766" i="15"/>
  <c r="G765" i="15" s="1"/>
  <c r="G1124" i="15"/>
  <c r="H1097" i="15"/>
  <c r="G1097" i="15"/>
  <c r="G359" i="15"/>
  <c r="H609" i="15"/>
  <c r="G140" i="16"/>
  <c r="I13" i="14"/>
  <c r="I64" i="14"/>
  <c r="G175" i="5"/>
  <c r="I175" i="5" s="1"/>
  <c r="G192" i="5"/>
  <c r="I192" i="5" s="1"/>
  <c r="G550" i="15"/>
  <c r="G549" i="15" s="1"/>
  <c r="G53" i="15"/>
  <c r="G52" i="15" s="1"/>
  <c r="G32" i="15" s="1"/>
  <c r="G1292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71" i="5"/>
  <c r="I271" i="5" s="1"/>
  <c r="H721" i="15"/>
  <c r="H720" i="15" s="1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295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89" i="4"/>
  <c r="I589" i="4" s="1"/>
  <c r="G369" i="14"/>
  <c r="G368" i="14" s="1"/>
  <c r="G878" i="4"/>
  <c r="I878" i="4" s="1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1156" i="4"/>
  <c r="I1156" i="4" s="1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214" i="4"/>
  <c r="I214" i="4" s="1"/>
  <c r="G231" i="5"/>
  <c r="I231" i="5" s="1"/>
  <c r="G245" i="5"/>
  <c r="I245" i="5" s="1"/>
  <c r="G605" i="4"/>
  <c r="I605" i="4" s="1"/>
  <c r="G1206" i="4"/>
  <c r="I1206" i="4" s="1"/>
  <c r="G9" i="4"/>
  <c r="I9" i="4" s="1"/>
  <c r="G492" i="4"/>
  <c r="G834" i="4"/>
  <c r="I834" i="4" s="1"/>
  <c r="G960" i="4"/>
  <c r="I960" i="4" s="1"/>
  <c r="G262" i="4"/>
  <c r="G238" i="4"/>
  <c r="I238" i="4" s="1"/>
  <c r="G182" i="4"/>
  <c r="I182" i="4" s="1"/>
  <c r="H1124" i="15"/>
  <c r="G1300" i="4"/>
  <c r="G1296" i="4"/>
  <c r="G34" i="4"/>
  <c r="I34" i="4" s="1"/>
  <c r="H1146" i="15"/>
  <c r="G1146" i="15"/>
  <c r="G987" i="4"/>
  <c r="I987" i="4" s="1"/>
  <c r="H1134" i="15"/>
  <c r="G1134" i="15"/>
  <c r="G924" i="4"/>
  <c r="I924" i="4" s="1"/>
  <c r="G1234" i="4"/>
  <c r="G298" i="4"/>
  <c r="I298" i="4" s="1"/>
  <c r="G307" i="5"/>
  <c r="G979" i="4"/>
  <c r="I979" i="4" s="1"/>
  <c r="G103" i="5"/>
  <c r="G878" i="5"/>
  <c r="I878" i="5" s="1"/>
  <c r="G175" i="4"/>
  <c r="I175" i="4" s="1"/>
  <c r="I1257" i="4" s="1"/>
  <c r="G796" i="5"/>
  <c r="I796" i="5" s="1"/>
  <c r="G916" i="5"/>
  <c r="I916" i="5" s="1"/>
  <c r="G928" i="5"/>
  <c r="I928" i="5" s="1"/>
  <c r="G495" i="5"/>
  <c r="I495" i="5" s="1"/>
  <c r="G488" i="5"/>
  <c r="I488" i="5" s="1"/>
  <c r="G809" i="5"/>
  <c r="I809" i="5" s="1"/>
  <c r="G66" i="5"/>
  <c r="I66" i="5" s="1"/>
  <c r="G947" i="5"/>
  <c r="G437" i="5"/>
  <c r="I437" i="5" s="1"/>
  <c r="G438" i="5"/>
  <c r="I438" i="5" s="1"/>
  <c r="G299" i="5"/>
  <c r="I299" i="5" s="1"/>
  <c r="G263" i="5"/>
  <c r="I263" i="5" s="1"/>
  <c r="G314" i="5"/>
  <c r="G477" i="5"/>
  <c r="I477" i="5" s="1"/>
  <c r="G18" i="5"/>
  <c r="I18" i="5" s="1"/>
  <c r="G969" i="5"/>
  <c r="I969" i="5" s="1"/>
  <c r="G970" i="5"/>
  <c r="I970" i="5" s="1"/>
  <c r="G963" i="5"/>
  <c r="I963" i="5" s="1"/>
  <c r="G817" i="5"/>
  <c r="I817" i="5" s="1"/>
  <c r="G540" i="5"/>
  <c r="G850" i="5"/>
  <c r="I850" i="5" s="1"/>
  <c r="G447" i="5"/>
  <c r="G922" i="5"/>
  <c r="I922" i="5" s="1"/>
  <c r="G803" i="5"/>
  <c r="I803" i="5" s="1"/>
  <c r="G411" i="5"/>
  <c r="F29" i="3"/>
  <c r="H29" i="3" s="1"/>
  <c r="F306" i="3"/>
  <c r="H306" i="3" s="1"/>
  <c r="F1063" i="3"/>
  <c r="H1063" i="3" s="1"/>
  <c r="F1003" i="3"/>
  <c r="H1003" i="3" s="1"/>
  <c r="F1098" i="3"/>
  <c r="H1098" i="3" s="1"/>
  <c r="F501" i="3"/>
  <c r="H501" i="3" s="1"/>
  <c r="F301" i="3"/>
  <c r="H301" i="3" s="1"/>
  <c r="F261" i="3"/>
  <c r="F353" i="3"/>
  <c r="H353" i="3" s="1"/>
  <c r="F516" i="3"/>
  <c r="H516" i="3" s="1"/>
  <c r="F291" i="3"/>
  <c r="H291" i="3" s="1"/>
  <c r="F951" i="3"/>
  <c r="H951" i="3" s="1"/>
  <c r="F970" i="3"/>
  <c r="F1057" i="3"/>
  <c r="H1057" i="3" s="1"/>
  <c r="F667" i="3"/>
  <c r="H667" i="3" s="1"/>
  <c r="F203" i="3"/>
  <c r="F163" i="3"/>
  <c r="H163" i="3" s="1"/>
  <c r="F791" i="3"/>
  <c r="H791" i="3" s="1"/>
  <c r="F831" i="3"/>
  <c r="H831" i="3" s="1"/>
  <c r="F1113" i="3"/>
  <c r="H1113" i="3" s="1"/>
  <c r="F321" i="3"/>
  <c r="H321" i="3" s="1"/>
  <c r="F48" i="3"/>
  <c r="H48" i="3" s="1"/>
  <c r="H1142" i="15"/>
  <c r="G1142" i="15"/>
  <c r="G629" i="5"/>
  <c r="I629" i="5" s="1"/>
  <c r="F969" i="3" l="1"/>
  <c r="H969" i="3" s="1"/>
  <c r="H970" i="3"/>
  <c r="G446" i="5"/>
  <c r="I446" i="5" s="1"/>
  <c r="I447" i="5"/>
  <c r="G519" i="5"/>
  <c r="I540" i="5"/>
  <c r="G946" i="5"/>
  <c r="I946" i="5" s="1"/>
  <c r="I947" i="5"/>
  <c r="G102" i="5"/>
  <c r="I103" i="5"/>
  <c r="G306" i="5"/>
  <c r="I306" i="5" s="1"/>
  <c r="I307" i="5"/>
  <c r="G1214" i="4"/>
  <c r="I1214" i="4" s="1"/>
  <c r="I1234" i="4"/>
  <c r="G457" i="4"/>
  <c r="I457" i="4" s="1"/>
  <c r="I492" i="4"/>
  <c r="D28" i="2"/>
  <c r="F28" i="2" s="1"/>
  <c r="H438" i="3"/>
  <c r="F704" i="3"/>
  <c r="H704" i="3" s="1"/>
  <c r="H705" i="3"/>
  <c r="G573" i="5"/>
  <c r="I574" i="5"/>
  <c r="G28" i="6"/>
  <c r="I29" i="6"/>
  <c r="D9" i="2"/>
  <c r="F9" i="2" s="1"/>
  <c r="H9" i="3"/>
  <c r="F202" i="3"/>
  <c r="H202" i="3" s="1"/>
  <c r="H203" i="3"/>
  <c r="F260" i="3"/>
  <c r="H260" i="3" s="1"/>
  <c r="H261" i="3"/>
  <c r="G403" i="5"/>
  <c r="I403" i="5" s="1"/>
  <c r="I411" i="5"/>
  <c r="G313" i="5"/>
  <c r="I313" i="5" s="1"/>
  <c r="I314" i="5"/>
  <c r="I1258" i="4"/>
  <c r="I1259" i="4" s="1"/>
  <c r="G261" i="4"/>
  <c r="I261" i="4" s="1"/>
  <c r="I262" i="4"/>
  <c r="I1285" i="4" s="1"/>
  <c r="I1304" i="4" s="1"/>
  <c r="K1271" i="4"/>
  <c r="I251" i="4"/>
  <c r="G113" i="5"/>
  <c r="I113" i="5" s="1"/>
  <c r="I134" i="5"/>
  <c r="G714" i="5"/>
  <c r="I715" i="5"/>
  <c r="G674" i="5"/>
  <c r="I674" i="5" s="1"/>
  <c r="I675" i="5"/>
  <c r="F369" i="3"/>
  <c r="H369" i="3" s="1"/>
  <c r="H400" i="3"/>
  <c r="G1139" i="15"/>
  <c r="F318" i="14"/>
  <c r="G319" i="14"/>
  <c r="G1258" i="4"/>
  <c r="G1102" i="15"/>
  <c r="G1103" i="15" s="1"/>
  <c r="G358" i="15"/>
  <c r="F666" i="3"/>
  <c r="G764" i="15"/>
  <c r="G31" i="15"/>
  <c r="D14" i="13"/>
  <c r="I45" i="14"/>
  <c r="H32" i="15"/>
  <c r="H31" i="15" s="1"/>
  <c r="H45" i="14"/>
  <c r="G33" i="4"/>
  <c r="I33" i="4" s="1"/>
  <c r="G548" i="15"/>
  <c r="I1098" i="15"/>
  <c r="H1139" i="15"/>
  <c r="J1098" i="15"/>
  <c r="G877" i="4"/>
  <c r="I877" i="4" s="1"/>
  <c r="I1276" i="4" s="1"/>
  <c r="I1277" i="4" s="1"/>
  <c r="G1132" i="15"/>
  <c r="G174" i="5"/>
  <c r="G230" i="5"/>
  <c r="I230" i="5" s="1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G357" i="15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500" i="3"/>
  <c r="H500" i="3" s="1"/>
  <c r="G706" i="5"/>
  <c r="G368" i="4"/>
  <c r="H1143" i="15"/>
  <c r="G1143" i="15"/>
  <c r="G1094" i="4"/>
  <c r="I1094" i="4" s="1"/>
  <c r="G959" i="4"/>
  <c r="I959" i="4" s="1"/>
  <c r="G986" i="4"/>
  <c r="G789" i="4"/>
  <c r="I789" i="4" s="1"/>
  <c r="H1147" i="15"/>
  <c r="G1147" i="15"/>
  <c r="G568" i="4"/>
  <c r="I568" i="4" s="1"/>
  <c r="G1205" i="4"/>
  <c r="I1205" i="4" s="1"/>
  <c r="G828" i="4"/>
  <c r="I828" i="4" s="1"/>
  <c r="G1286" i="4"/>
  <c r="G504" i="4"/>
  <c r="I504" i="4" s="1"/>
  <c r="G1285" i="4"/>
  <c r="G802" i="5"/>
  <c r="I802" i="5" s="1"/>
  <c r="G17" i="5"/>
  <c r="I17" i="5" s="1"/>
  <c r="G487" i="5"/>
  <c r="I487" i="5" s="1"/>
  <c r="G961" i="5"/>
  <c r="I961" i="5" s="1"/>
  <c r="G962" i="5"/>
  <c r="I962" i="5" s="1"/>
  <c r="G976" i="5"/>
  <c r="I976" i="5" s="1"/>
  <c r="G780" i="5"/>
  <c r="I780" i="5" s="1"/>
  <c r="G795" i="5"/>
  <c r="I795" i="5" s="1"/>
  <c r="G44" i="5"/>
  <c r="I44" i="5" s="1"/>
  <c r="G65" i="5"/>
  <c r="I65" i="5" s="1"/>
  <c r="G889" i="5"/>
  <c r="I889" i="5" s="1"/>
  <c r="G808" i="5"/>
  <c r="I808" i="5" s="1"/>
  <c r="G816" i="5"/>
  <c r="I816" i="5" s="1"/>
  <c r="G476" i="5"/>
  <c r="I476" i="5" s="1"/>
  <c r="G494" i="5"/>
  <c r="I494" i="5" s="1"/>
  <c r="G1257" i="4"/>
  <c r="G270" i="5"/>
  <c r="I270" i="5" s="1"/>
  <c r="F968" i="3"/>
  <c r="H968" i="3" s="1"/>
  <c r="D23" i="2"/>
  <c r="F23" i="2" s="1"/>
  <c r="F290" i="3"/>
  <c r="H290" i="3" s="1"/>
  <c r="F352" i="3"/>
  <c r="H352" i="3" s="1"/>
  <c r="F300" i="3"/>
  <c r="H300" i="3" s="1"/>
  <c r="F1097" i="3"/>
  <c r="H1097" i="3" s="1"/>
  <c r="F1062" i="3"/>
  <c r="H1062" i="3" s="1"/>
  <c r="F817" i="3"/>
  <c r="H817" i="3" s="1"/>
  <c r="F856" i="3"/>
  <c r="H856" i="3" s="1"/>
  <c r="F111" i="3"/>
  <c r="H111" i="3" s="1"/>
  <c r="F47" i="3"/>
  <c r="H47" i="3" s="1"/>
  <c r="F320" i="3"/>
  <c r="H320" i="3" s="1"/>
  <c r="F790" i="3"/>
  <c r="H790" i="3" s="1"/>
  <c r="F1047" i="3"/>
  <c r="H1047" i="3" s="1"/>
  <c r="F950" i="3"/>
  <c r="F1002" i="3"/>
  <c r="H1002" i="3" s="1"/>
  <c r="F28" i="3"/>
  <c r="H28" i="3" s="1"/>
  <c r="I991" i="10"/>
  <c r="G318" i="4" l="1"/>
  <c r="I318" i="4" s="1"/>
  <c r="I368" i="4"/>
  <c r="I28" i="6"/>
  <c r="G46" i="6"/>
  <c r="I46" i="6" s="1"/>
  <c r="G572" i="5"/>
  <c r="I572" i="5" s="1"/>
  <c r="I573" i="5"/>
  <c r="G101" i="5"/>
  <c r="I101" i="5" s="1"/>
  <c r="I102" i="5"/>
  <c r="G518" i="5"/>
  <c r="I518" i="5" s="1"/>
  <c r="I519" i="5"/>
  <c r="F915" i="3"/>
  <c r="H915" i="3" s="1"/>
  <c r="H950" i="3"/>
  <c r="G1261" i="4"/>
  <c r="I986" i="4"/>
  <c r="I1261" i="4" s="1"/>
  <c r="I1262" i="4" s="1"/>
  <c r="I706" i="5"/>
  <c r="G173" i="5"/>
  <c r="I173" i="5" s="1"/>
  <c r="I174" i="5"/>
  <c r="F614" i="3"/>
  <c r="H614" i="3" s="1"/>
  <c r="H666" i="3"/>
  <c r="G713" i="5"/>
  <c r="I713" i="5" s="1"/>
  <c r="I714" i="5"/>
  <c r="G1116" i="15"/>
  <c r="G1117" i="15" s="1"/>
  <c r="F317" i="14"/>
  <c r="F316" i="14" s="1"/>
  <c r="F315" i="14" s="1"/>
  <c r="D28" i="13" s="1"/>
  <c r="H7" i="14"/>
  <c r="G318" i="14"/>
  <c r="G147" i="5"/>
  <c r="I147" i="5" s="1"/>
  <c r="G1259" i="4"/>
  <c r="G1007" i="4"/>
  <c r="G445" i="5"/>
  <c r="I445" i="5" s="1"/>
  <c r="G877" i="5"/>
  <c r="I877" i="5" s="1"/>
  <c r="G537" i="15"/>
  <c r="G1113" i="15"/>
  <c r="G1114" i="15" s="1"/>
  <c r="G756" i="15"/>
  <c r="G1122" i="15"/>
  <c r="G1123" i="15" s="1"/>
  <c r="G831" i="15"/>
  <c r="G1110" i="15"/>
  <c r="G567" i="4"/>
  <c r="I567" i="4" s="1"/>
  <c r="G136" i="14"/>
  <c r="G9" i="14" s="1"/>
  <c r="F829" i="14"/>
  <c r="H830" i="14" s="1"/>
  <c r="H1102" i="15"/>
  <c r="E43" i="13"/>
  <c r="E41" i="13" s="1"/>
  <c r="I830" i="14"/>
  <c r="D37" i="13"/>
  <c r="F961" i="3"/>
  <c r="H961" i="3" s="1"/>
  <c r="G396" i="4"/>
  <c r="I396" i="4" s="1"/>
  <c r="I1270" i="4" s="1"/>
  <c r="I1271" i="4" s="1"/>
  <c r="G629" i="4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548" i="3"/>
  <c r="G1291" i="4"/>
  <c r="G1304" i="4" s="1"/>
  <c r="G1262" i="4"/>
  <c r="G1141" i="15"/>
  <c r="H1141" i="15"/>
  <c r="G1213" i="4"/>
  <c r="I1213" i="4" s="1"/>
  <c r="G260" i="4"/>
  <c r="H1133" i="15"/>
  <c r="G1133" i="15"/>
  <c r="H1106" i="15"/>
  <c r="G503" i="4"/>
  <c r="H1132" i="15"/>
  <c r="G953" i="5"/>
  <c r="I953" i="5" s="1"/>
  <c r="G43" i="5"/>
  <c r="I43" i="5" s="1"/>
  <c r="D38" i="2"/>
  <c r="F38" i="2" s="1"/>
  <c r="H1105" i="15"/>
  <c r="G815" i="5"/>
  <c r="I815" i="5" s="1"/>
  <c r="G794" i="5"/>
  <c r="I794" i="5" s="1"/>
  <c r="G801" i="5"/>
  <c r="I801" i="5" s="1"/>
  <c r="G64" i="5"/>
  <c r="I64" i="5" s="1"/>
  <c r="G779" i="5"/>
  <c r="I779" i="5" s="1"/>
  <c r="G968" i="5"/>
  <c r="I968" i="5" s="1"/>
  <c r="G9" i="5"/>
  <c r="I9" i="5" s="1"/>
  <c r="D43" i="2"/>
  <c r="F43" i="2" s="1"/>
  <c r="D24" i="2"/>
  <c r="F24" i="2" s="1"/>
  <c r="D27" i="2"/>
  <c r="F27" i="2" s="1"/>
  <c r="D22" i="2"/>
  <c r="F22" i="2" s="1"/>
  <c r="F289" i="3"/>
  <c r="H289" i="3" s="1"/>
  <c r="D21" i="2"/>
  <c r="F21" i="2" s="1"/>
  <c r="F259" i="3"/>
  <c r="H259" i="3" s="1"/>
  <c r="D19" i="2"/>
  <c r="F19" i="2" s="1"/>
  <c r="D29" i="2"/>
  <c r="F29" i="2" s="1"/>
  <c r="F351" i="3"/>
  <c r="H351" i="3" s="1"/>
  <c r="D37" i="2"/>
  <c r="F37" i="2" s="1"/>
  <c r="F162" i="3"/>
  <c r="D10" i="2"/>
  <c r="F10" i="2" s="1"/>
  <c r="F1046" i="3"/>
  <c r="H1046" i="3" s="1"/>
  <c r="F789" i="3"/>
  <c r="H789" i="3" s="1"/>
  <c r="D11" i="2"/>
  <c r="F11" i="2" s="1"/>
  <c r="D12" i="2"/>
  <c r="F12" i="2" s="1"/>
  <c r="D35" i="2"/>
  <c r="F35" i="2" s="1"/>
  <c r="F1096" i="3"/>
  <c r="H1096" i="3" s="1"/>
  <c r="D48" i="2"/>
  <c r="F48" i="2" s="1"/>
  <c r="D26" i="2"/>
  <c r="F26" i="2" s="1"/>
  <c r="G1273" i="4" l="1"/>
  <c r="I503" i="4"/>
  <c r="I1273" i="4" s="1"/>
  <c r="I1274" i="4" s="1"/>
  <c r="G1254" i="4"/>
  <c r="G1255" i="4" s="1"/>
  <c r="I260" i="4"/>
  <c r="I1254" i="4" s="1"/>
  <c r="D31" i="2"/>
  <c r="F31" i="2" s="1"/>
  <c r="H548" i="3"/>
  <c r="G1267" i="4"/>
  <c r="I629" i="4"/>
  <c r="I1267" i="4" s="1"/>
  <c r="I1268" i="4" s="1"/>
  <c r="G1264" i="4"/>
  <c r="G1265" i="4" s="1"/>
  <c r="I1007" i="4"/>
  <c r="I1264" i="4" s="1"/>
  <c r="I1265" i="4" s="1"/>
  <c r="G705" i="5"/>
  <c r="I705" i="5" s="1"/>
  <c r="F8" i="3"/>
  <c r="H8" i="3" s="1"/>
  <c r="H162" i="3"/>
  <c r="G1127" i="15"/>
  <c r="D27" i="13"/>
  <c r="G317" i="14"/>
  <c r="G316" i="14" s="1"/>
  <c r="G315" i="14" s="1"/>
  <c r="E28" i="13" s="1"/>
  <c r="E27" i="13" s="1"/>
  <c r="I7" i="14"/>
  <c r="G793" i="5"/>
  <c r="I793" i="5" s="1"/>
  <c r="G996" i="5"/>
  <c r="G1094" i="15"/>
  <c r="C18" i="18" s="1"/>
  <c r="G1111" i="15"/>
  <c r="G1128" i="15" s="1"/>
  <c r="E17" i="13"/>
  <c r="E11" i="13" s="1"/>
  <c r="F855" i="3"/>
  <c r="H855" i="3" s="1"/>
  <c r="G621" i="4"/>
  <c r="I621" i="4" s="1"/>
  <c r="E56" i="13"/>
  <c r="F478" i="14"/>
  <c r="G1270" i="4"/>
  <c r="G259" i="4"/>
  <c r="I259" i="4" s="1"/>
  <c r="F314" i="14"/>
  <c r="D18" i="18"/>
  <c r="D32" i="13"/>
  <c r="E34" i="13"/>
  <c r="E32" i="13" s="1"/>
  <c r="G478" i="14"/>
  <c r="G958" i="4"/>
  <c r="I958" i="4" s="1"/>
  <c r="H1107" i="15"/>
  <c r="H1108" i="15" s="1"/>
  <c r="H1103" i="15"/>
  <c r="H1138" i="15"/>
  <c r="H1151" i="15" s="1"/>
  <c r="G1138" i="15"/>
  <c r="G778" i="5"/>
  <c r="I778" i="5" s="1"/>
  <c r="G31" i="5"/>
  <c r="G71" i="5"/>
  <c r="I71" i="5" s="1"/>
  <c r="F1045" i="3"/>
  <c r="D34" i="2"/>
  <c r="F34" i="2" s="1"/>
  <c r="D15" i="2"/>
  <c r="D33" i="2"/>
  <c r="F33" i="2" s="1"/>
  <c r="D46" i="2"/>
  <c r="F46" i="2" s="1"/>
  <c r="D41" i="2"/>
  <c r="D47" i="2"/>
  <c r="F47" i="2" s="1"/>
  <c r="D36" i="2"/>
  <c r="F36" i="2" s="1"/>
  <c r="D18" i="2"/>
  <c r="F18" i="2" s="1"/>
  <c r="D20" i="2"/>
  <c r="F20" i="2" s="1"/>
  <c r="I1280" i="4" l="1"/>
  <c r="I1255" i="4"/>
  <c r="I1281" i="4" s="1"/>
  <c r="D39" i="2"/>
  <c r="F39" i="2" s="1"/>
  <c r="F41" i="2"/>
  <c r="F1017" i="3"/>
  <c r="H1045" i="3"/>
  <c r="G30" i="5"/>
  <c r="I30" i="5" s="1"/>
  <c r="I31" i="5"/>
  <c r="D8" i="2"/>
  <c r="F8" i="2" s="1"/>
  <c r="F15" i="2"/>
  <c r="G314" i="14"/>
  <c r="D56" i="13"/>
  <c r="G1129" i="15"/>
  <c r="G1271" i="4"/>
  <c r="G1276" i="4"/>
  <c r="G1280" i="4" s="1"/>
  <c r="G869" i="4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274" i="4"/>
  <c r="D25" i="2"/>
  <c r="F25" i="2" s="1"/>
  <c r="F613" i="3"/>
  <c r="H613" i="3" s="1"/>
  <c r="F1043" i="3"/>
  <c r="H1043" i="3" s="1"/>
  <c r="G1245" i="4" l="1"/>
  <c r="I1245" i="4" s="1"/>
  <c r="I869" i="4"/>
  <c r="F1016" i="3"/>
  <c r="H1016" i="3" s="1"/>
  <c r="H1017" i="3"/>
  <c r="F1119" i="3"/>
  <c r="G1277" i="4"/>
  <c r="H1127" i="15"/>
  <c r="H1130" i="15" s="1"/>
  <c r="F887" i="14"/>
  <c r="G887" i="14"/>
  <c r="G886" i="14" s="1"/>
  <c r="H1120" i="15"/>
  <c r="H1128" i="15" s="1"/>
  <c r="D32" i="2"/>
  <c r="F32" i="2" s="1"/>
  <c r="F547" i="3"/>
  <c r="H547" i="3" s="1"/>
  <c r="G1248" i="4" l="1"/>
  <c r="I1248" i="4"/>
  <c r="F54" i="2"/>
  <c r="F50" i="2"/>
  <c r="C17" i="7"/>
  <c r="F886" i="14"/>
  <c r="D47" i="13" s="1"/>
  <c r="D46" i="13" s="1"/>
  <c r="D54" i="2"/>
  <c r="D50" i="2"/>
  <c r="E47" i="13"/>
  <c r="E46" i="13" s="1"/>
  <c r="G885" i="14"/>
  <c r="G970" i="14" s="1"/>
  <c r="E52" i="13" s="1"/>
  <c r="H1129" i="15"/>
  <c r="D30" i="2"/>
  <c r="F30" i="2" s="1"/>
  <c r="H1250" i="4" l="1"/>
  <c r="I1250" i="4"/>
  <c r="D51" i="13"/>
  <c r="D58" i="13" s="1"/>
  <c r="D59" i="13"/>
  <c r="F885" i="14"/>
  <c r="G1130" i="15"/>
  <c r="L1130" i="15" s="1"/>
  <c r="E51" i="13"/>
  <c r="G1096" i="15"/>
  <c r="E1095" i="15" s="1"/>
  <c r="F971" i="14"/>
  <c r="D45" i="2"/>
  <c r="F45" i="2" s="1"/>
  <c r="F1015" i="3"/>
  <c r="H1015" i="3" s="1"/>
  <c r="F970" i="14" l="1"/>
  <c r="D52" i="13" s="1"/>
  <c r="E58" i="13"/>
  <c r="L1128" i="15"/>
  <c r="L1095" i="15"/>
  <c r="G971" i="14"/>
  <c r="G972" i="14" s="1"/>
  <c r="D44" i="2"/>
  <c r="F44" i="2" s="1"/>
  <c r="F1118" i="3"/>
  <c r="H1118" i="3" s="1"/>
  <c r="H1120" i="3" s="1"/>
  <c r="F972" i="14" l="1"/>
  <c r="D49" i="2"/>
  <c r="M1128" i="15"/>
  <c r="F1120" i="3"/>
  <c r="D55" i="2" l="1"/>
  <c r="F49" i="2"/>
  <c r="D51" i="2"/>
  <c r="F51" i="2" l="1"/>
  <c r="F55" i="2"/>
  <c r="H1098" i="15" l="1"/>
  <c r="H1099" i="15" s="1"/>
  <c r="H1100" i="15" l="1"/>
  <c r="E53" i="13"/>
  <c r="E55" i="13" s="1"/>
  <c r="D17" i="18"/>
  <c r="D19" i="18" s="1"/>
  <c r="D11" i="18" s="1"/>
  <c r="D10" i="18" s="1"/>
  <c r="G1098" i="15" l="1"/>
  <c r="G1099" i="15" s="1"/>
  <c r="G1100" i="15" l="1"/>
  <c r="C17" i="18"/>
  <c r="C19" i="18" s="1"/>
  <c r="C11" i="18" s="1"/>
  <c r="C10" i="18" s="1"/>
  <c r="D53" i="13"/>
  <c r="D55" i="13" s="1"/>
  <c r="E1247" i="4" l="1"/>
  <c r="G1250" i="4" s="1"/>
  <c r="C13" i="18"/>
  <c r="C14" i="18" s="1"/>
  <c r="C9" i="7"/>
  <c r="C16" i="7" l="1"/>
  <c r="C18" i="7" s="1"/>
  <c r="C12" i="7" s="1"/>
  <c r="C11" i="7" s="1"/>
  <c r="C8" i="7" s="1"/>
  <c r="D52" i="2"/>
  <c r="D53" i="2" s="1"/>
  <c r="G1251" i="4"/>
  <c r="D13" i="18"/>
  <c r="D14" i="18" s="1"/>
  <c r="C12" i="18"/>
  <c r="D12" i="18" s="1"/>
  <c r="D9" i="18" s="1"/>
  <c r="C13" i="7" l="1"/>
  <c r="C22" i="7" s="1"/>
  <c r="F52" i="2"/>
  <c r="F53" i="2" s="1"/>
  <c r="I1251" i="4"/>
  <c r="H365" i="16"/>
  <c r="H364" i="16" s="1"/>
  <c r="H356" i="16" s="1"/>
  <c r="H893" i="16" s="1"/>
  <c r="H897" i="16" s="1"/>
  <c r="C9" i="18"/>
  <c r="G1268" i="4" l="1"/>
  <c r="G1281" i="4" s="1"/>
  <c r="G983" i="5"/>
  <c r="G982" i="5" l="1"/>
  <c r="I983" i="5"/>
  <c r="G981" i="5" l="1"/>
  <c r="I982" i="5"/>
  <c r="G980" i="5" l="1"/>
  <c r="I981" i="5"/>
  <c r="G979" i="5" l="1"/>
  <c r="I980" i="5"/>
  <c r="I979" i="5" l="1"/>
  <c r="G978" i="5"/>
  <c r="I978" i="5" s="1"/>
  <c r="G977" i="5"/>
  <c r="G994" i="5" l="1"/>
  <c r="I977" i="5"/>
  <c r="G997" i="5" l="1"/>
  <c r="I994" i="5"/>
  <c r="I997" i="5" s="1"/>
</calcChain>
</file>

<file path=xl/comments1.xml><?xml version="1.0" encoding="utf-8"?>
<comments xmlns="http://schemas.openxmlformats.org/spreadsheetml/2006/main">
  <authors>
    <author>Автор</author>
  </authors>
  <commentList>
    <comment ref="C94" authorId="0">
      <text>
        <r>
          <rPr>
            <b/>
            <sz val="9"/>
            <color indexed="81"/>
            <rFont val="Tahoma"/>
            <family val="2"/>
            <charset val="204"/>
          </rPr>
          <t>2581,3  таблица 24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4" authorId="0">
      <text>
        <r>
          <rPr>
            <b/>
            <sz val="9"/>
            <color indexed="81"/>
            <rFont val="Tahoma"/>
            <family val="2"/>
            <charset val="204"/>
          </rPr>
          <t>2581,3  таблица 24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  <comment ref="C96" authorId="0">
      <text>
        <r>
          <rPr>
            <b/>
            <sz val="9"/>
            <color indexed="81"/>
            <rFont val="Tahoma"/>
            <family val="2"/>
            <charset val="204"/>
          </rPr>
          <t>1491,4   Таблица 38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1491,4   Таблица 38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04"/>
          </rPr>
          <t>591,6   таблица 22 приложения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04"/>
          </rPr>
          <t>591,6   таблица 22 приложения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8" authorId="0">
      <text>
        <r>
          <rPr>
            <b/>
            <sz val="9"/>
            <color indexed="81"/>
            <rFont val="Tahoma"/>
            <family val="2"/>
            <charset val="204"/>
          </rPr>
          <t>21 435,2   таблица 41 прил 12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21 435,2   таблица 41 прил 12</t>
        </r>
      </text>
    </comment>
    <comment ref="C129" authorId="0">
      <text>
        <r>
          <rPr>
            <b/>
            <sz val="9"/>
            <color indexed="81"/>
            <rFont val="Tahoma"/>
            <family val="2"/>
            <charset val="204"/>
          </rPr>
          <t>16158,3  табл 65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16158,3  табл 65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4" authorId="0">
      <text>
        <r>
          <rPr>
            <b/>
            <sz val="9"/>
            <color indexed="81"/>
            <rFont val="Tahoma"/>
            <family val="2"/>
            <charset val="204"/>
          </rPr>
          <t>124618,9  табл 4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4" authorId="0">
      <text>
        <r>
          <rPr>
            <b/>
            <sz val="9"/>
            <color indexed="81"/>
            <rFont val="Tahoma"/>
            <family val="2"/>
            <charset val="204"/>
          </rPr>
          <t>124618,9  табл 4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0" authorId="0">
      <text>
        <r>
          <rPr>
            <b/>
            <sz val="9"/>
            <color indexed="81"/>
            <rFont val="Tahoma"/>
            <family val="2"/>
            <charset val="204"/>
          </rPr>
          <t>10 000,8  табл 18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0" authorId="0">
      <text>
        <r>
          <rPr>
            <b/>
            <sz val="9"/>
            <color indexed="81"/>
            <rFont val="Tahoma"/>
            <family val="2"/>
            <charset val="204"/>
          </rPr>
          <t>10 000,8  табл 18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<sst xmlns="http://schemas.openxmlformats.org/spreadsheetml/2006/main" count="48499" uniqueCount="1831">
  <si>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</si>
  <si>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</si>
  <si>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</si>
  <si>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</si>
  <si>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</si>
  <si>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</si>
  <si>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</si>
  <si>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</si>
  <si>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</si>
  <si>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</si>
  <si>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</si>
  <si>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</si>
  <si>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</si>
  <si>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</si>
  <si>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</si>
  <si>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</si>
  <si>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</si>
  <si>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</si>
  <si>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</si>
  <si>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</si>
  <si>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</si>
  <si>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</si>
  <si>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</si>
  <si>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</si>
  <si>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</si>
  <si>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</si>
  <si>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</si>
  <si>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</si>
  <si>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</si>
  <si>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</si>
  <si>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</si>
  <si>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</si>
  <si>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</si>
  <si>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</si>
  <si>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</si>
  <si>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</si>
  <si>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</si>
  <si>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</si>
  <si>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</si>
  <si>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</si>
  <si>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</si>
  <si>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</si>
  <si>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</si>
  <si>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</si>
  <si>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</si>
  <si>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</si>
  <si>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</si>
  <si>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</si>
  <si>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</si>
  <si>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</si>
  <si>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</si>
  <si>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</si>
  <si>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</si>
  <si>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</si>
  <si>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</si>
  <si>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</si>
  <si>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</si>
  <si>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</si>
  <si>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</si>
  <si>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</si>
  <si>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</si>
  <si>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</si>
  <si>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</si>
  <si>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</si>
  <si>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</si>
  <si>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</si>
  <si>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</si>
  <si>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</si>
  <si>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</si>
  <si>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</si>
  <si>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</si>
  <si>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</si>
  <si>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</si>
  <si>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</si>
  <si>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</si>
  <si>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</si>
  <si>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</si>
  <si>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</si>
  <si>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</si>
  <si>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</si>
  <si>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</si>
  <si>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</si>
  <si>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</si>
  <si>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</si>
  <si>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</si>
  <si>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</si>
  <si>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</si>
  <si>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</si>
  <si>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</si>
  <si>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</si>
  <si>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</si>
  <si>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</si>
  <si>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</si>
  <si>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</si>
  <si>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</si>
  <si>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</si>
  <si>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</si>
  <si>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</si>
  <si>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</si>
  <si>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</si>
  <si>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</si>
  <si>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</si>
  <si>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</si>
  <si>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</si>
  <si>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</si>
  <si>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</si>
  <si>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</si>
  <si>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</si>
  <si>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</si>
  <si>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</si>
  <si>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</si>
  <si>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</si>
  <si>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</si>
  <si>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</si>
  <si>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</si>
  <si>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</si>
  <si>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</si>
  <si>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</si>
  <si>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</si>
  <si>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</si>
  <si>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</si>
  <si>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</si>
  <si>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</si>
  <si>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</si>
  <si>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</si>
  <si>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</si>
  <si>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</si>
  <si>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</si>
  <si>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</si>
  <si>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</si>
  <si>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</si>
  <si>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</si>
  <si>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</si>
  <si>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</si>
  <si>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</si>
  <si>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</si>
  <si>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</si>
  <si>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</si>
  <si>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</si>
  <si>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</si>
  <si>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</si>
  <si>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</si>
  <si>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</si>
  <si>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</si>
  <si>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</si>
  <si>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</si>
  <si>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</si>
  <si>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</si>
  <si>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</si>
  <si>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</si>
  <si>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</si>
  <si>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</si>
  <si>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</si>
  <si>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</si>
  <si>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</si>
  <si>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</si>
  <si>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</si>
  <si>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</si>
  <si>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</si>
  <si>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</si>
  <si>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</si>
  <si>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</si>
  <si>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</si>
  <si>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</si>
  <si>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</si>
  <si>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</si>
  <si>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</si>
  <si>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</si>
  <si>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</si>
  <si>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</si>
  <si>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</si>
  <si>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</si>
  <si>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</si>
  <si>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</si>
  <si>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</si>
  <si>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</si>
  <si>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</si>
  <si>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</si>
  <si>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</si>
  <si>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</si>
  <si>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</si>
  <si>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</si>
  <si>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</si>
  <si>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</si>
  <si>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</si>
  <si>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</si>
  <si>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</si>
  <si>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</si>
  <si>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</si>
  <si>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</si>
  <si>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</si>
  <si>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</si>
  <si>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</si>
  <si>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</si>
  <si>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</si>
  <si>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</si>
  <si>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</si>
  <si>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</si>
  <si>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</si>
  <si>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</si>
  <si>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</si>
  <si>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</si>
  <si>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</si>
  <si>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</si>
  <si>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</si>
  <si>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</si>
  <si>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</si>
  <si>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</si>
  <si>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</si>
  <si>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</si>
  <si>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</si>
  <si>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</si>
  <si>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</si>
  <si>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</si>
  <si>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</si>
  <si>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</si>
  <si>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</si>
  <si>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</si>
  <si>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</si>
  <si>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</si>
  <si>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</si>
  <si>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</si>
  <si>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</si>
  <si>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</si>
  <si>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</si>
  <si>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</si>
  <si>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</si>
  <si>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</si>
  <si>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</si>
  <si>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</si>
  <si>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</si>
  <si>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</si>
  <si>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</si>
  <si>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</si>
  <si>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</si>
  <si>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</si>
  <si>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</si>
  <si>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</si>
  <si>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</si>
  <si>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</si>
  <si>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</si>
  <si>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</si>
  <si>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</si>
  <si>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</si>
  <si>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</si>
  <si>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</si>
  <si>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</si>
  <si>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</si>
  <si>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</si>
  <si>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</si>
  <si>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</si>
  <si>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</si>
  <si>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</si>
  <si>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</si>
  <si>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</si>
  <si>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</si>
  <si>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</si>
  <si>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</si>
  <si>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</si>
  <si>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</si>
  <si>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</si>
  <si>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</si>
  <si>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</si>
  <si>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</si>
  <si>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</si>
  <si>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</si>
  <si>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</si>
  <si>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</si>
  <si>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</si>
  <si>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</si>
  <si>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</si>
  <si>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</si>
  <si>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</si>
  <si>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</si>
  <si>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</si>
  <si>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</si>
  <si>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</si>
  <si>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</si>
  <si>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</si>
  <si>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</si>
  <si>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</si>
  <si>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</si>
  <si>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</si>
  <si>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</si>
  <si>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</si>
  <si>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</si>
  <si>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</si>
  <si>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</si>
  <si>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</si>
  <si>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</si>
  <si>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</si>
  <si>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</si>
  <si>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</si>
  <si>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</si>
  <si>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</si>
  <si>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</si>
  <si>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</si>
  <si>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</si>
  <si>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</si>
  <si>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</si>
  <si>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</si>
  <si>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</si>
  <si>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</si>
  <si>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</si>
  <si>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</si>
  <si>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</si>
  <si>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</si>
  <si>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</si>
  <si>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</si>
  <si>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</si>
  <si>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</si>
  <si>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</si>
  <si>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</si>
  <si>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</si>
  <si>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</si>
  <si>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</si>
  <si>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</si>
  <si>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</si>
  <si>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</si>
  <si>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</si>
  <si>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</si>
  <si>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</si>
  <si>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</si>
  <si>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</si>
  <si>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</si>
  <si>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</si>
  <si>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</si>
  <si>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</si>
  <si>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</si>
  <si>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</si>
  <si>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</si>
  <si>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</si>
  <si>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</si>
  <si>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</si>
  <si>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</si>
  <si>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</si>
  <si>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</si>
  <si>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</si>
  <si>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</si>
  <si>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</si>
  <si>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</si>
  <si>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</si>
  <si>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</si>
  <si>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</si>
  <si>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</si>
  <si>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</si>
  <si>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</si>
  <si>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</si>
  <si>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</si>
  <si>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</si>
  <si>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</si>
  <si>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</si>
  <si>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</si>
  <si>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</si>
  <si>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</si>
  <si>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</si>
  <si>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</si>
  <si>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</si>
  <si>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</si>
  <si>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</si>
  <si>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</si>
  <si>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</si>
  <si>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</si>
  <si>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</si>
  <si>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</si>
  <si>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</si>
  <si>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</si>
  <si>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</si>
  <si>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</si>
  <si>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</si>
  <si>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</si>
  <si>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</si>
  <si>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</si>
  <si>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</si>
  <si>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</si>
  <si>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</si>
  <si>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</si>
  <si>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</si>
  <si>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</si>
  <si>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</si>
  <si>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</si>
  <si>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</si>
  <si>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</si>
  <si>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</si>
  <si>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</si>
  <si>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</si>
  <si>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</si>
  <si>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</si>
  <si>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</si>
  <si>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</si>
  <si>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</si>
  <si>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</si>
  <si>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</si>
  <si>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</si>
  <si>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</si>
  <si>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</si>
  <si>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</si>
  <si>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</si>
  <si>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</si>
  <si>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</si>
  <si>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</si>
  <si>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</si>
  <si>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</si>
  <si>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</si>
  <si>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</si>
  <si>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</si>
  <si>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</si>
  <si>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</si>
  <si>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</si>
  <si>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</si>
  <si>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</si>
  <si>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</si>
  <si>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</si>
  <si>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</si>
  <si>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</si>
  <si>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</si>
  <si>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</si>
  <si>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</si>
  <si>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</si>
  <si>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</si>
  <si>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</si>
  <si>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</si>
  <si>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</si>
  <si>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</si>
  <si>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</si>
  <si>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</si>
  <si>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</si>
  <si>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</si>
  <si>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</si>
  <si>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</si>
  <si>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</si>
  <si>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</si>
  <si>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</si>
  <si>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</si>
  <si>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</si>
  <si>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</si>
  <si>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</si>
  <si>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</si>
  <si>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</si>
  <si>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</si>
  <si>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</si>
  <si>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</si>
  <si>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</si>
  <si>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</si>
  <si>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</si>
  <si>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</si>
  <si>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</si>
  <si>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</si>
  <si>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</si>
  <si>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</si>
  <si>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</si>
  <si>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</si>
  <si>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</si>
  <si>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</si>
  <si>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</si>
  <si>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</si>
  <si>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</si>
  <si>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</si>
  <si>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</si>
  <si>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</si>
  <si>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</si>
  <si>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</si>
  <si>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</si>
  <si>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</si>
  <si>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</si>
  <si>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</si>
  <si>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</si>
  <si>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</si>
  <si>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</si>
  <si>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</si>
  <si>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</si>
  <si>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</si>
  <si>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</si>
  <si>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</si>
  <si>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</si>
  <si>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</si>
  <si>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</si>
  <si>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</si>
  <si>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</si>
  <si>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</si>
  <si>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</si>
  <si>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</si>
  <si>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</si>
  <si>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</si>
  <si>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</si>
  <si>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</si>
  <si>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</si>
  <si>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</si>
  <si>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</si>
  <si>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</si>
  <si>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</si>
  <si>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</si>
  <si>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</si>
  <si>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</si>
  <si>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</si>
  <si>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</si>
  <si>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</si>
  <si>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</si>
  <si>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</si>
  <si>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</si>
  <si>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</si>
  <si>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</si>
  <si>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</si>
  <si>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</si>
  <si>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</si>
  <si>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</si>
  <si>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</si>
  <si>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</si>
  <si>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</si>
  <si>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</si>
  <si>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</si>
  <si>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</si>
  <si>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</si>
  <si>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</si>
  <si>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</si>
  <si>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</si>
  <si>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</si>
  <si>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</si>
  <si>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</si>
  <si>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</si>
  <si>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</si>
  <si>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</si>
  <si>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</si>
  <si>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</si>
  <si>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</si>
  <si>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</si>
  <si>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</si>
  <si>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</si>
  <si>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</si>
  <si>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</si>
  <si>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</si>
  <si>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</si>
  <si>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</si>
  <si>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</si>
  <si>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</si>
  <si>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</si>
  <si>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</si>
  <si>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</si>
  <si>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</si>
  <si>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</si>
  <si>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</si>
  <si>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</si>
  <si>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</si>
  <si>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</si>
  <si>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</si>
  <si>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</si>
  <si>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</si>
  <si>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</si>
  <si>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</si>
  <si>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</si>
  <si>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</si>
  <si>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</si>
  <si>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</si>
  <si>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</si>
  <si>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</si>
  <si>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</si>
  <si>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</si>
  <si>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</si>
  <si>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</si>
  <si>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</si>
  <si>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</si>
  <si>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</si>
  <si>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</si>
  <si>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</si>
  <si>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</si>
  <si>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</si>
  <si>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</si>
  <si>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</si>
  <si>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</si>
  <si>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</si>
  <si>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</si>
  <si>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</si>
  <si>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</si>
  <si>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</si>
  <si>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</si>
  <si>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</si>
  <si>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</si>
  <si>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</si>
  <si>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</si>
  <si>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</si>
  <si>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</si>
  <si>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</si>
  <si>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</si>
  <si>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</si>
  <si>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</si>
  <si>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</si>
  <si>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</si>
  <si>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</si>
  <si>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</si>
  <si>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</si>
  <si>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</si>
  <si>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</si>
  <si>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</si>
  <si>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</si>
  <si>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</si>
  <si>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</si>
  <si>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</si>
  <si>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</si>
  <si>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</si>
  <si>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</si>
  <si>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</si>
  <si>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</si>
  <si>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</si>
  <si>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</si>
  <si>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</si>
  <si>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</si>
  <si>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</si>
  <si>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</si>
  <si>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</si>
  <si>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</si>
  <si>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</si>
  <si>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</si>
  <si>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</si>
  <si>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</si>
  <si>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</si>
  <si>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</si>
  <si>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</si>
  <si>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</si>
  <si>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</si>
  <si>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</si>
  <si>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</si>
  <si>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</si>
  <si>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</si>
  <si>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</si>
  <si>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</si>
  <si>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</si>
  <si>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</si>
  <si>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</si>
  <si>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</si>
  <si>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</si>
  <si>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</si>
  <si>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</si>
  <si>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</si>
  <si>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</si>
  <si>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</si>
  <si>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</si>
  <si>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</si>
  <si>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</si>
  <si>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</si>
  <si>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</si>
  <si>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</si>
  <si>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</si>
  <si>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</si>
  <si>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</si>
  <si>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</si>
  <si>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</si>
  <si>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</si>
  <si>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</si>
  <si>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</si>
  <si>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</si>
  <si>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</si>
  <si>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</si>
  <si>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</si>
  <si>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</si>
  <si>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</si>
  <si>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</si>
  <si>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</si>
  <si>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</si>
  <si>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</si>
  <si>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</si>
  <si>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</si>
  <si>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</si>
  <si>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</si>
  <si>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</si>
  <si>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</si>
  <si>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</si>
  <si>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</si>
  <si>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</si>
  <si>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</si>
  <si>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</si>
  <si>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</si>
  <si>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</si>
  <si>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</si>
  <si>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</si>
  <si>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</si>
  <si>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</si>
  <si>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</si>
  <si>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</si>
  <si>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</si>
  <si>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</si>
  <si>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</si>
  <si>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</si>
  <si>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</si>
  <si>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</si>
  <si>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</si>
  <si>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</si>
  <si>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</si>
  <si>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</si>
  <si>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</si>
  <si>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</si>
  <si>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</si>
  <si>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</si>
  <si>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</si>
  <si>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</si>
  <si>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</si>
  <si>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</si>
  <si>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</si>
  <si>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</si>
  <si>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</si>
  <si>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</si>
  <si>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</si>
  <si>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</si>
  <si>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</si>
  <si>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</si>
  <si>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</si>
  <si>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</si>
  <si>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</si>
  <si>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</si>
  <si>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</si>
  <si>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</si>
  <si>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</si>
  <si>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</si>
  <si>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</si>
  <si>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</si>
  <si>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</si>
  <si>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</si>
  <si>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</si>
  <si>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</si>
  <si>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</si>
  <si>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</si>
  <si>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</si>
  <si>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</si>
  <si>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</si>
  <si>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</si>
  <si>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</si>
  <si>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</si>
  <si>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</si>
  <si>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</si>
  <si>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</si>
  <si>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</si>
  <si>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</si>
  <si>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</si>
  <si>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</si>
  <si>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</si>
  <si>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</si>
  <si>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</si>
  <si>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</si>
  <si>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</si>
  <si>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</si>
  <si>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</si>
  <si>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</si>
  <si>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</si>
  <si>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</si>
  <si>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</si>
  <si>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</si>
  <si>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</si>
  <si>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</si>
  <si>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</si>
  <si>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</si>
  <si>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</si>
  <si>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</si>
  <si>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</si>
  <si>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</si>
  <si>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</si>
  <si>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</si>
  <si>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</si>
  <si>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</si>
  <si>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</si>
  <si>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</si>
  <si>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</si>
  <si>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</si>
  <si>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</si>
  <si>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</si>
  <si>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</si>
  <si>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</si>
  <si>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</si>
  <si>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</si>
  <si>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</si>
  <si>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</si>
  <si>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</si>
  <si>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</si>
  <si>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</si>
  <si>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</si>
  <si>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</si>
  <si>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</si>
  <si>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</si>
  <si>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</si>
  <si>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</si>
  <si>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</si>
  <si>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</si>
  <si>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</si>
  <si>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</si>
  <si>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</si>
  <si>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</si>
  <si>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</si>
  <si>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</si>
  <si>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</si>
  <si>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</si>
  <si>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</si>
  <si>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</si>
  <si>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</si>
  <si>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</si>
  <si>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</si>
  <si>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</si>
  <si>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</si>
  <si>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</si>
  <si>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</si>
  <si>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</si>
  <si>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</si>
  <si>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</si>
  <si>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</si>
  <si>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</si>
  <si>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</si>
  <si>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</si>
  <si>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</si>
  <si>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</si>
  <si>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</si>
  <si>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</si>
  <si>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</si>
  <si>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</si>
  <si>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</si>
  <si>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</si>
  <si>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</si>
  <si>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</si>
  <si>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</si>
  <si>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</si>
  <si>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</si>
  <si>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</si>
  <si>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</si>
  <si>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</si>
  <si>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</si>
  <si>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</si>
  <si>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</si>
  <si>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</si>
  <si>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</si>
  <si>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</si>
  <si>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</si>
  <si>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</si>
  <si>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</si>
  <si>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</si>
  <si>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</si>
  <si>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</si>
  <si>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</si>
  <si>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</si>
  <si>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</si>
  <si>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</si>
  <si>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</si>
  <si>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</si>
  <si>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</si>
  <si>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</si>
  <si>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</si>
  <si>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</si>
  <si>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</si>
  <si>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</si>
  <si>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</si>
  <si>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</si>
  <si>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</si>
  <si>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</si>
  <si>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</si>
  <si>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</si>
  <si>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</si>
  <si>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</si>
  <si>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</si>
  <si>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</si>
  <si>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</si>
  <si>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</si>
  <si>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</si>
  <si>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</si>
  <si>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</si>
  <si>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</si>
  <si>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</si>
  <si>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</si>
  <si>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</si>
  <si>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</si>
  <si>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</si>
  <si>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</si>
  <si>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</si>
  <si>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</si>
  <si>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</si>
  <si>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</si>
  <si>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</si>
  <si>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</si>
  <si>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</si>
  <si>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</si>
  <si>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</si>
  <si>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</si>
  <si>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</si>
  <si>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</si>
  <si>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</si>
  <si>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</si>
  <si>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</si>
  <si>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</si>
  <si>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</si>
  <si>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</si>
  <si>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</si>
  <si>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</si>
  <si>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</si>
  <si>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</si>
  <si>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</si>
  <si>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</si>
  <si>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</si>
  <si>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</si>
  <si>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</si>
  <si>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</si>
  <si>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</si>
  <si>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</si>
  <si>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</si>
  <si>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</si>
  <si>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</si>
  <si>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</si>
  <si>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</si>
  <si>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</si>
  <si>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</si>
  <si>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</si>
  <si>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</si>
  <si>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</si>
  <si>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</si>
  <si>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</si>
  <si>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</si>
  <si>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</si>
  <si>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</si>
  <si>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</si>
  <si>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</si>
  <si>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</si>
  <si>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</si>
  <si>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</si>
  <si>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</si>
  <si>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</si>
  <si>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</si>
  <si>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</si>
  <si>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</si>
  <si>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</si>
  <si>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</si>
  <si>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</si>
  <si>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</si>
  <si>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</si>
  <si>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</si>
  <si>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</si>
  <si>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</si>
  <si>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</si>
  <si>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</si>
  <si>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</si>
  <si>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</si>
  <si>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</si>
  <si>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</si>
  <si>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</si>
  <si>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</si>
  <si>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</si>
  <si>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</si>
  <si>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</si>
  <si>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</si>
  <si>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</si>
  <si>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</si>
  <si>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</si>
  <si>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</si>
  <si>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</si>
  <si>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</si>
  <si>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</si>
  <si>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</si>
  <si>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</si>
  <si>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</si>
  <si>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</si>
  <si>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</si>
  <si>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</si>
  <si>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</si>
  <si>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</si>
  <si>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</si>
  <si>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</si>
  <si>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</si>
  <si>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</si>
  <si>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</si>
  <si>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</si>
  <si>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</si>
  <si>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</si>
  <si>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</si>
  <si>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</si>
  <si>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</si>
  <si>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</si>
  <si>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</si>
  <si>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</si>
  <si>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</si>
  <si>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</si>
  <si>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</si>
  <si>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</si>
  <si>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</si>
  <si>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</si>
  <si>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</si>
  <si>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</si>
  <si>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</si>
  <si>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</si>
  <si>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</si>
  <si>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</si>
  <si>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</si>
  <si>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</si>
  <si>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</si>
  <si>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</si>
  <si>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</si>
  <si>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</si>
  <si>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</si>
  <si>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</si>
  <si>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</si>
  <si>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</si>
  <si>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</si>
  <si>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</si>
  <si>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</si>
  <si>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</si>
  <si>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</si>
  <si>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</si>
  <si>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</si>
  <si>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</si>
  <si>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</si>
  <si>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</si>
  <si>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</si>
  <si>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</si>
  <si>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</si>
  <si>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</si>
  <si>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</si>
  <si>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</si>
  <si>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</si>
  <si>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</si>
  <si>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</si>
  <si>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</si>
  <si>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</si>
  <si>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</si>
  <si>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</si>
  <si>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</si>
  <si>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</si>
  <si>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</si>
  <si>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</si>
  <si>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</si>
  <si>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</si>
  <si>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</si>
  <si>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</si>
  <si>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</si>
  <si>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</si>
  <si>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</si>
  <si>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</si>
  <si>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</si>
  <si>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</si>
  <si>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</si>
  <si>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</si>
  <si>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</si>
  <si>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</si>
  <si>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</si>
  <si>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</si>
  <si>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</si>
  <si>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</si>
  <si>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</si>
  <si>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</si>
  <si>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</si>
  <si>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</si>
  <si>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</si>
  <si>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</si>
  <si>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</si>
  <si>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</si>
  <si>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</si>
  <si>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</si>
  <si>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</si>
  <si>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</si>
  <si>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</si>
  <si>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</si>
  <si>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</si>
  <si>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</si>
  <si>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</si>
  <si>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</si>
  <si>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</si>
  <si>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</si>
  <si>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</si>
  <si>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</si>
  <si>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</si>
  <si>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</si>
  <si>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</si>
  <si>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</si>
  <si>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</si>
  <si>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</si>
  <si>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</si>
  <si>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</si>
  <si>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</si>
  <si>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</si>
  <si>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</si>
  <si>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</si>
  <si>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</si>
  <si>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</si>
  <si>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</si>
  <si>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</si>
  <si>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</si>
  <si>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</si>
  <si>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</si>
  <si>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</si>
  <si>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</si>
  <si>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</si>
  <si>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</si>
  <si>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</si>
  <si>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</si>
  <si>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</si>
  <si>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</si>
  <si>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</si>
  <si>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</si>
  <si>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</si>
  <si>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</si>
  <si>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</si>
  <si>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</si>
  <si>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</si>
  <si>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</si>
  <si>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</si>
  <si>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</si>
  <si>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</si>
  <si>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</si>
  <si>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</si>
  <si>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</si>
  <si>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</si>
  <si>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</si>
  <si>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</si>
  <si>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</si>
  <si>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</si>
  <si>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</si>
  <si>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</si>
  <si>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</si>
  <si>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</si>
  <si>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</si>
  <si>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</si>
  <si>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</si>
  <si>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</si>
  <si>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</si>
  <si>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</si>
  <si>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</si>
  <si>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</si>
  <si>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</si>
  <si>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</si>
  <si>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</si>
  <si>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</si>
  <si>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</si>
  <si>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</si>
  <si>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</si>
  <si>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</si>
  <si>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</si>
  <si>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</si>
  <si>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</si>
  <si>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</si>
  <si>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</si>
  <si>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</si>
  <si>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</si>
  <si>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</si>
  <si>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</si>
  <si>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</si>
  <si>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</si>
  <si>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</si>
  <si>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</si>
  <si>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</si>
  <si>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</si>
  <si>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</si>
  <si>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</si>
  <si>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</si>
  <si>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</si>
  <si>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</si>
  <si>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</si>
  <si>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</si>
  <si>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</si>
  <si>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</si>
  <si>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</si>
  <si>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</si>
  <si>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</si>
  <si>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</si>
  <si>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</si>
  <si>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</si>
  <si>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</si>
  <si>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</si>
  <si>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</si>
  <si>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</si>
  <si>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</si>
  <si>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</si>
  <si>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</si>
  <si>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</si>
  <si>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</si>
  <si>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</si>
  <si>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</si>
  <si>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</si>
  <si>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</si>
  <si>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</si>
  <si>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</si>
  <si>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</si>
  <si>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</si>
  <si>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</si>
  <si>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</si>
  <si>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</si>
  <si>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</si>
  <si>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</si>
  <si>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</si>
  <si>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</si>
  <si>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</si>
  <si>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</si>
  <si>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</si>
  <si>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</si>
  <si>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</si>
  <si>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</si>
  <si>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</si>
  <si>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</si>
  <si>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</si>
  <si>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</si>
  <si>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</si>
  <si>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</si>
  <si>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</si>
  <si>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</si>
  <si>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</si>
  <si>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</si>
  <si>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</si>
  <si>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</si>
  <si>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</si>
  <si>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</si>
  <si>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</si>
  <si>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</si>
  <si>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</si>
  <si>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</si>
  <si>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</si>
  <si>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</si>
  <si>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</si>
  <si>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</si>
  <si>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</si>
  <si>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</si>
  <si>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</si>
  <si>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</si>
  <si>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</si>
  <si>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</si>
  <si>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</si>
  <si>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</si>
  <si>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</si>
  <si>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</si>
  <si>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</si>
  <si>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</si>
  <si>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</si>
  <si>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</si>
  <si>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</si>
  <si>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</si>
  <si>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</si>
  <si>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</si>
  <si>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</si>
  <si>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</si>
  <si>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</si>
  <si>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</si>
  <si>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</si>
  <si>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</si>
  <si>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</si>
  <si>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</si>
  <si>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</si>
  <si>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</si>
  <si>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</si>
  <si>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</si>
  <si>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</si>
  <si>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</si>
  <si>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</si>
  <si>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</si>
  <si>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</si>
  <si>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</si>
  <si>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</si>
  <si>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</si>
  <si>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</si>
  <si>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</si>
  <si>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</si>
  <si>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</si>
  <si>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</si>
  <si>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</si>
  <si>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</si>
  <si>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</si>
  <si>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</si>
  <si>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</si>
  <si>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</si>
  <si>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</si>
  <si>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</si>
  <si>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</si>
  <si>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</si>
  <si>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</si>
  <si>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</si>
  <si>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</si>
  <si>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</si>
  <si>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</si>
  <si>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</si>
  <si>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</si>
  <si>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</si>
  <si>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</si>
  <si>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</si>
  <si>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</si>
  <si>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</si>
  <si>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</si>
  <si>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</si>
  <si>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</si>
  <si>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</si>
  <si>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</si>
  <si>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</si>
  <si>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</si>
  <si>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</si>
  <si>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</si>
  <si>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</si>
  <si>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</si>
  <si>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</si>
  <si>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</si>
  <si>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</si>
  <si>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</si>
  <si>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</si>
  <si>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</si>
  <si>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</si>
  <si>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</si>
  <si>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</si>
  <si>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</si>
  <si>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</si>
  <si>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</si>
  <si>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</si>
  <si>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</si>
  <si>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</si>
  <si>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</si>
  <si>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</si>
  <si>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</si>
  <si>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</si>
  <si>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</si>
  <si>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</si>
  <si>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</si>
  <si>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</si>
  <si>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</si>
  <si>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</si>
  <si>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</si>
  <si>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</si>
  <si>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</si>
  <si>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</si>
  <si>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</si>
  <si>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</si>
  <si>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</si>
  <si>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</si>
  <si>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</si>
  <si>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</si>
  <si>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</si>
  <si>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</si>
  <si>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</si>
  <si>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</si>
  <si>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</si>
  <si>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</si>
  <si>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</si>
  <si>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</si>
  <si>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</si>
  <si>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</si>
  <si>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</si>
  <si>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</si>
  <si>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</si>
  <si>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</si>
  <si>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</si>
  <si>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</si>
  <si>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</si>
  <si>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</si>
  <si>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</si>
  <si>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</si>
  <si>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</si>
  <si>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</si>
  <si>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</si>
  <si>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</si>
  <si>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</si>
  <si>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</si>
  <si>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</si>
  <si>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</si>
  <si>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</si>
  <si>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</si>
  <si>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</si>
  <si>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</si>
  <si>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</si>
  <si>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</si>
  <si>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</si>
  <si>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</si>
  <si>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</si>
  <si>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</si>
  <si>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</si>
  <si>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</si>
  <si>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</si>
  <si>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</si>
  <si>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</si>
  <si>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</si>
  <si>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</si>
  <si>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</si>
  <si>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</si>
  <si>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</si>
  <si>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</si>
  <si>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</si>
  <si>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</si>
  <si>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</si>
  <si>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</si>
  <si>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</si>
  <si>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</si>
  <si>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</si>
  <si>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</si>
  <si>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</si>
  <si>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</si>
  <si>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</si>
  <si>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</si>
  <si>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</si>
  <si>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</si>
  <si>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</si>
  <si>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</si>
  <si>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</si>
  <si>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</si>
  <si>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</si>
  <si>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</si>
  <si>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</si>
  <si>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</si>
  <si>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</si>
  <si>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</si>
  <si>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</si>
  <si>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</si>
  <si>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</si>
  <si>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</si>
  <si>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</si>
  <si>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</si>
  <si>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</si>
  <si>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</si>
  <si>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</si>
  <si>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</si>
  <si>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</si>
  <si>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</si>
  <si>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</si>
  <si>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</si>
  <si>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</si>
  <si>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</si>
  <si>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</si>
  <si>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</si>
  <si>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</si>
  <si>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</si>
  <si>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</si>
  <si>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</si>
  <si>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</si>
  <si>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</si>
  <si>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</si>
  <si>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</si>
  <si>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</si>
  <si>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</si>
  <si>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</si>
  <si>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</si>
  <si>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</si>
  <si>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</si>
  <si>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</si>
  <si>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</si>
  <si>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</si>
  <si>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</si>
  <si>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</si>
  <si>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</si>
  <si>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</si>
  <si>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</si>
  <si>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</si>
  <si>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</si>
  <si>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оценка МФ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</si>
  <si>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</si>
  <si>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</si>
  <si>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</si>
  <si>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</si>
  <si>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</si>
  <si>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</si>
  <si>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</si>
  <si>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</si>
  <si>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</si>
  <si>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</si>
  <si>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</si>
  <si>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</si>
  <si>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</si>
  <si>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</si>
  <si>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</si>
  <si>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</si>
  <si>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</si>
  <si>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</si>
  <si>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</si>
  <si>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</si>
  <si>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</si>
  <si>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</si>
  <si>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</si>
  <si>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</si>
  <si>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</si>
  <si>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</si>
  <si>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</si>
  <si>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</si>
  <si>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</si>
  <si>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</si>
  <si>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</si>
  <si>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</si>
  <si>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</si>
  <si>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</si>
  <si>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</si>
  <si>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</si>
  <si>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</si>
  <si>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</si>
  <si>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</si>
  <si>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</si>
  <si>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</si>
  <si>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</si>
  <si>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</si>
  <si>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</si>
  <si>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</si>
  <si>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</si>
  <si>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</si>
  <si>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</si>
  <si>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</si>
  <si>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</si>
  <si>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</si>
  <si>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</si>
  <si>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</si>
  <si>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</si>
  <si>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</si>
  <si>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</si>
  <si>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</si>
  <si>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</si>
  <si>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</si>
  <si>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</si>
  <si>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</si>
  <si>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</si>
  <si>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</si>
  <si>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</si>
  <si>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</si>
  <si>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</si>
  <si>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</si>
  <si>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</si>
  <si>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</si>
  <si>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</si>
  <si>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</si>
  <si>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</si>
  <si>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</si>
  <si>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</si>
  <si>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</si>
  <si>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</si>
  <si>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</si>
  <si>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</si>
  <si>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</si>
  <si>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</si>
  <si>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</si>
  <si>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</si>
  <si>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</si>
  <si>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</si>
  <si>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</si>
  <si>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</si>
  <si>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</si>
  <si>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</si>
  <si>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</si>
  <si>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</si>
  <si>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</si>
  <si>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</si>
  <si>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</si>
  <si>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</si>
  <si>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</si>
  <si>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</si>
  <si>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</si>
  <si>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</si>
  <si>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</si>
  <si>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</si>
  <si>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</si>
  <si>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</si>
  <si>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</si>
  <si>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</si>
  <si>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</si>
  <si>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</si>
  <si>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Восстановление и модернизация муниципального имущества в городских округах Магаданской области</t>
  </si>
  <si>
    <t>02 0 02 S1110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</si>
  <si>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</si>
  <si>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</si>
  <si>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</si>
  <si>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</si>
  <si>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</si>
  <si>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 xml:space="preserve">поддержка соц.ориентир.неком.организаций </t>
  </si>
  <si>
    <t>реконстр. и кап.рем.общеобраз.организаций ООШ)</t>
  </si>
  <si>
    <t>Восстановление и модернизация муниципального имущества</t>
  </si>
  <si>
    <t>05 01</t>
  </si>
  <si>
    <t>Основное мероприятие "Обеспечение пожарной безопасности"</t>
  </si>
  <si>
    <t>64 0 04 00000</t>
  </si>
  <si>
    <t>64 0 04 01250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</si>
  <si>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</si>
  <si>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</si>
  <si>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</si>
  <si>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</si>
  <si>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Антеррерорист.защищенность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</si>
  <si>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</si>
  <si>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</si>
  <si>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</si>
  <si>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</si>
  <si>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</si>
  <si>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 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</si>
  <si>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 на 2019-2021 годы"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</si>
  <si>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</si>
  <si>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</si>
  <si>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</si>
  <si>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</si>
  <si>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</si>
  <si>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</si>
  <si>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</si>
  <si>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</si>
  <si>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</si>
  <si>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</si>
  <si>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</si>
  <si>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</si>
  <si>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</si>
  <si>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</si>
  <si>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</si>
  <si>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</si>
  <si>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</si>
  <si>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</si>
  <si>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проверка</t>
  </si>
  <si>
    <t>дефицит 35839 (свободный остаток м/б 31 - экономия по кадастр.работам)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</si>
  <si>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</si>
  <si>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</si>
  <si>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</si>
  <si>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</si>
  <si>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</si>
  <si>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</si>
  <si>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</si>
  <si>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Бюджетные инвестиции иным юридическим лицам</t>
  </si>
  <si>
    <t>450</t>
  </si>
  <si>
    <t>11 05</t>
  </si>
  <si>
    <t>60 0 05 00000</t>
  </si>
  <si>
    <t>Инициативный проект "Благоустройство дворовой территории п.Омсукчан по ул. Октябрьская (дома 4,6,6а)"</t>
  </si>
  <si>
    <t>60 0 05 S1214</t>
  </si>
  <si>
    <t>Основное мероприятие "Реализация инициативных проектов в области благоустройства"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</si>
  <si>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</si>
  <si>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</si>
  <si>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</si>
  <si>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</si>
  <si>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</si>
  <si>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>60 0 05 S2140</t>
  </si>
  <si>
    <t>57 0 02 20100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</si>
  <si>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</si>
  <si>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</si>
  <si>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</si>
  <si>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</si>
  <si>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</si>
  <si>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</si>
  <si>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1 12 01 040 01 00000 120</t>
  </si>
  <si>
    <t xml:space="preserve">Субсидии бюджетам городских округов на реализацию мероприятий подпрограммы "Развитие библиотечного дела Магаданской области" государственной программы Магаданской области "Развитие  культуры в Магаданской области" 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</si>
  <si>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</si>
  <si>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</si>
  <si>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</si>
  <si>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Субсидии бюджетам городских округов на реализацию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</t>
  </si>
  <si>
    <t xml:space="preserve">Субсидии бюджетам городских округов на совершенствование питания учащихся в общеобразовательных организациях </t>
  </si>
  <si>
    <t xml:space="preserve">Субсидии бюджетам городских округов на организацию и проведение областных универсальных совместных ярмарок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</si>
  <si>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</si>
  <si>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</si>
  <si>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Субсидии бюджетам городских округов на питание детей-инвалидов, детей с ограниченными возможностями здоровья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</si>
  <si>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</si>
  <si>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 xml:space="preserve">Субвенции бюджетам городских округов на финансовое обеспечение муниципальных дошкольных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</si>
  <si>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</si>
  <si>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</si>
  <si>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</si>
  <si>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</si>
  <si>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</si>
  <si>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</si>
  <si>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</si>
  <si>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</si>
  <si>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</si>
  <si>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</si>
  <si>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детям,оставшимся без попечения родителей, лицам из их числа
по договорам найма специализированных жилых помещений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</si>
  <si>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</si>
  <si>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</si>
  <si>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</si>
  <si>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</si>
  <si>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>52 0 17 20180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</si>
  <si>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</si>
  <si>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</si>
  <si>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</si>
  <si>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Муниципальное казенное учреждение "Контрольно- счетная палата Омсукчанского городского округа"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</si>
  <si>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</si>
  <si>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</si>
  <si>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</si>
  <si>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</si>
  <si>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</si>
  <si>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</si>
  <si>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</si>
  <si>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Обеспечение  персонифицированного финансирования дополнительного образования детей</t>
  </si>
  <si>
    <t>Мероприятия в сфере молодежной политики</t>
  </si>
  <si>
    <t>51 1 02 S3444</t>
  </si>
  <si>
    <t>Модернизация и реконструкция объектов инженерной и коммунальной инфраструктуры в населенных пунктах Магаданской области</t>
  </si>
  <si>
    <t>62 0 08 00000</t>
  </si>
  <si>
    <t>Основное мероприятие "Подготовка к осенне-зимнему отопительному сезону"</t>
  </si>
  <si>
    <t>62 0 08 S2310</t>
  </si>
  <si>
    <t>Расходы на повышение оплаты труда работников муниципальных казенных, бюджетных, автономных учреждений</t>
  </si>
  <si>
    <t>58 0 01 72104</t>
  </si>
  <si>
    <t>111</t>
  </si>
  <si>
    <t>119</t>
  </si>
  <si>
    <t>52 0 01 72104</t>
  </si>
  <si>
    <t>57 0 01 72104</t>
  </si>
  <si>
    <t>Итого ОСОК</t>
  </si>
  <si>
    <t>Итого СШ</t>
  </si>
  <si>
    <t xml:space="preserve">Итого ФОК </t>
  </si>
  <si>
    <t>611 (0ЗП)</t>
  </si>
  <si>
    <t>611(0НЧ)</t>
  </si>
  <si>
    <t>Итого ОЭЦ</t>
  </si>
  <si>
    <t>Всего</t>
  </si>
  <si>
    <t>Итого ДШИ</t>
  </si>
  <si>
    <t>Итого редакция</t>
  </si>
  <si>
    <t>Итого ЦДО</t>
  </si>
  <si>
    <t>02 0 01 72104</t>
  </si>
  <si>
    <t>Поощрение за достижение наилучших показателей деятельности органов местного самоуправления</t>
  </si>
  <si>
    <t>01 0 02 72200</t>
  </si>
  <si>
    <t>02 0 03 72200</t>
  </si>
  <si>
    <t>02 0 04 72200</t>
  </si>
  <si>
    <t>02 0 05 72200</t>
  </si>
  <si>
    <t>01 0 04 72200</t>
  </si>
  <si>
    <t>01 0 01 72200</t>
  </si>
  <si>
    <t>(+1306,2)</t>
  </si>
  <si>
    <t>молодежная политика</t>
  </si>
  <si>
    <t>0707</t>
  </si>
  <si>
    <t>Приложение № 2</t>
  </si>
  <si>
    <t xml:space="preserve">         Приложение № 2.1.</t>
  </si>
  <si>
    <t xml:space="preserve">         Приложение № 3.1.</t>
  </si>
  <si>
    <t xml:space="preserve">               Приложение № 4.1.</t>
  </si>
  <si>
    <t>Приложение № 6.1.</t>
  </si>
  <si>
    <t xml:space="preserve"> </t>
  </si>
  <si>
    <t xml:space="preserve">           от 27.12.2021г. № 55</t>
  </si>
  <si>
    <t>от 27.12.2021г. № 55</t>
  </si>
  <si>
    <t xml:space="preserve">            от 27.12.2021г. № 55  </t>
  </si>
  <si>
    <t xml:space="preserve">                          к решению СПОГО</t>
  </si>
  <si>
    <t xml:space="preserve">                          Приложение № 4</t>
  </si>
  <si>
    <t xml:space="preserve">                 от 27.12.2021г. № 55 </t>
  </si>
  <si>
    <t xml:space="preserve">        Приложение № 5.1.</t>
  </si>
  <si>
    <t>____________________</t>
  </si>
  <si>
    <t xml:space="preserve">                                                                         Приложение № 7</t>
  </si>
  <si>
    <t xml:space="preserve">                                                                              к решению СПОГО</t>
  </si>
  <si>
    <t>План на 2021 год, тыс.руб.</t>
  </si>
  <si>
    <t>Процент исполнения, %</t>
  </si>
  <si>
    <t>Исполнено за 2021 год, тыс.руб.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</si>
  <si>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</si>
  <si>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превыш. 5 000 000 руб (за искл налога на дох физ лиц с сумм прибыли контролируемой иностранной компании, в том числе фиксированной прибыли контролируемой иностранной компании)</t>
  </si>
  <si>
    <t>-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</si>
  <si>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</si>
  <si>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</si>
  <si>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1 11 05320 04 0000 120</t>
  </si>
  <si>
    <t>Плата по соглашениям об установлении сервитута, заключенным органами местного самоуправления городских округов</t>
  </si>
  <si>
    <t>1 11 05324 04 0000 120</t>
  </si>
  <si>
    <t>1 12 01040 01 0000 120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</si>
  <si>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</si>
  <si>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</si>
  <si>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</si>
  <si>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</si>
  <si>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</si>
  <si>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</si>
  <si>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</si>
  <si>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</si>
  <si>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</si>
  <si>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</si>
  <si>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</si>
  <si>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</si>
  <si>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1 17 01040 04 0000 180</t>
  </si>
  <si>
    <t>Невыясненные поступления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</si>
  <si>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</si>
  <si>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</si>
  <si>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</si>
  <si>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</si>
  <si>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</si>
  <si>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</si>
  <si>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</si>
  <si>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</si>
  <si>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</si>
  <si>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</si>
  <si>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</si>
  <si>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</si>
  <si>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</si>
  <si>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</si>
  <si>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2 02 25576 00 0000 150</t>
  </si>
  <si>
    <t>Субсидии бюджетам на обеспечение комплексного развития сельских территорий</t>
  </si>
  <si>
    <t>2 02 25576 04 0000 150</t>
  </si>
  <si>
    <t>Субсидии бюджетам городских округов на обеспечение комплексного развития сельских территорий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</si>
  <si>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</si>
  <si>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</si>
  <si>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</si>
  <si>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</si>
  <si>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</si>
  <si>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</si>
  <si>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</si>
  <si>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</si>
  <si>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</si>
  <si>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</si>
  <si>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</si>
  <si>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</si>
  <si>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</si>
  <si>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</si>
  <si>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</si>
  <si>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</si>
  <si>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</si>
  <si>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</si>
  <si>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</si>
  <si>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</si>
  <si>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</si>
  <si>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Субсидии бюджетам муниципальных образований на реализацию мероприятий по оборудованию квартир отдельных категорий граждан автономными пожарными извещателями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</si>
  <si>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</si>
  <si>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Субсидии бюджетам городских округов на реализацию инициативных проектов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</si>
  <si>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</si>
  <si>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Субсидии бюджетам городских округов Магаданской области на реализацию мероприятий в сфере молодежной политики</t>
  </si>
  <si>
    <t>Субсидии бюджетам городских округов на модернизацию и реконструкцию объектов инженерной и коммунальной инфраструктуры в населенных пунктах Магаданской области в 2021 году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</si>
  <si>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</si>
  <si>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</si>
  <si>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</si>
  <si>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</si>
  <si>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</si>
  <si>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</si>
  <si>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</si>
  <si>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</si>
  <si>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</si>
  <si>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</si>
  <si>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</si>
  <si>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</si>
  <si>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</si>
  <si>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</si>
  <si>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</si>
  <si>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</si>
  <si>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</si>
  <si>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</si>
  <si>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</si>
  <si>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</si>
  <si>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</si>
  <si>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2 02 45303 04 0000 150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</si>
  <si>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</si>
  <si>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</si>
  <si>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 xml:space="preserve">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</si>
  <si>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</si>
  <si>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Прочие межбюджетные трансферты, передаваемые бюджетам городских округов
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</si>
  <si>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</si>
  <si>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</si>
  <si>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</si>
  <si>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</si>
  <si>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</si>
  <si>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</si>
  <si>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</si>
  <si>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</si>
  <si>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</si>
  <si>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</si>
  <si>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2 19 35930 04 0000 150</t>
  </si>
  <si>
    <t xml:space="preserve">Возврат остатков субвенций на государственную регистрацию актов гражданского состояния из бюджетов городских округов
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</si>
  <si>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</si>
  <si>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 xml:space="preserve">Исполнение распределения бюджетных ассигнований по разделам и подразделам классификации расходов бюджетов Российской Федерации за  2021 год 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</si>
  <si>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2021 год</t>
  </si>
  <si>
    <t xml:space="preserve">Исполнение ведомственной  структуры расходов бюджета Омсукчанского городского округа за 2021 год </t>
  </si>
  <si>
    <t xml:space="preserve"> Исполнение распределения бюджетных ассигнований, направляемых на реализацию муниципальных программ  Омсукчанского городского округа за 2021 год</t>
  </si>
  <si>
    <t>Исполнение распределения бюджетных ассигнований, направляемых на исполнение публичных нормативных обязательств за 2021 год</t>
  </si>
  <si>
    <t>Исполнение по источникам внутреннего финансирования дефицита бюджета Омсукчанского городского округа  за 2021 год</t>
  </si>
  <si>
    <t xml:space="preserve">                                                                               от                   2022г. № </t>
  </si>
  <si>
    <t>Приложение № 7</t>
  </si>
  <si>
    <t>Субсидии автономным учреждениям</t>
  </si>
  <si>
    <t>Исполнение  доходов бюджета Омсукчанского городского округа за 2021 год</t>
  </si>
  <si>
    <t xml:space="preserve">               </t>
  </si>
  <si>
    <t>Приложение № 1</t>
  </si>
  <si>
    <t xml:space="preserve">  к решению СПОГО</t>
  </si>
  <si>
    <t>от 18.04.2022г. № 16</t>
  </si>
  <si>
    <t xml:space="preserve">от  18.04.2022г. № 16 </t>
  </si>
  <si>
    <t xml:space="preserve">                          от 18.04.2022г. № 16</t>
  </si>
  <si>
    <t xml:space="preserve">от 18.04.2022г. № 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</si>
</sst>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0.000"/>
    <numFmt numFmtId="169" formatCode="#,##0.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/>
    <xf numFmtId="0" fontId="1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33" borderId="0" applyNumberFormat="0" applyBorder="0" applyAlignment="0" applyProtection="0"/>
    <xf numFmtId="0" fontId="49" fillId="21" borderId="20" applyNumberFormat="0" applyAlignment="0" applyProtection="0"/>
    <xf numFmtId="0" fontId="50" fillId="34" borderId="21" applyNumberFormat="0" applyAlignment="0" applyProtection="0"/>
    <xf numFmtId="0" fontId="51" fillId="34" borderId="20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35" borderId="26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64" fillId="0" borderId="0"/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7" borderId="27" applyNumberFormat="0" applyFont="0" applyAlignment="0" applyProtection="0"/>
    <xf numFmtId="0" fontId="61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6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3" fillId="0" borderId="0" xfId="1" applyFont="1" applyFill="1"/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4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right"/>
    </xf>
    <xf numFmtId="0" fontId="21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6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10" fillId="0" borderId="0" xfId="0" applyFont="1" applyFill="1" applyBorder="1"/>
    <xf numFmtId="166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6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6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6" fontId="3" fillId="7" borderId="2" xfId="1" applyNumberFormat="1" applyFont="1" applyFill="1" applyBorder="1" applyAlignment="1">
      <alignment horizontal="center" vertical="center"/>
    </xf>
    <xf numFmtId="166" fontId="3" fillId="7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6" fontId="28" fillId="0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4" fillId="0" borderId="0" xfId="0" applyNumberFormat="1" applyFont="1" applyFill="1" applyAlignment="1">
      <alignment horizontal="right"/>
    </xf>
    <xf numFmtId="49" fontId="4" fillId="0" borderId="2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4" fontId="14" fillId="2" borderId="0" xfId="1" applyNumberFormat="1" applyFont="1" applyFill="1" applyAlignment="1">
      <alignment horizont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167" fontId="12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2" fillId="0" borderId="8" xfId="0" applyFont="1" applyFill="1" applyBorder="1" applyAlignment="1">
      <alignment vertical="center" wrapText="1"/>
    </xf>
    <xf numFmtId="4" fontId="0" fillId="0" borderId="0" xfId="0" applyNumberFormat="1"/>
    <xf numFmtId="4" fontId="17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9" fillId="0" borderId="2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4" fillId="0" borderId="3" xfId="0" applyFont="1" applyFill="1" applyBorder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35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49" fontId="3" fillId="7" borderId="2" xfId="1" applyNumberFormat="1" applyFont="1" applyFill="1" applyBorder="1" applyAlignment="1">
      <alignment horizontal="center" vertical="center"/>
    </xf>
    <xf numFmtId="0" fontId="3" fillId="7" borderId="8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vertical="center" wrapText="1"/>
    </xf>
    <xf numFmtId="0" fontId="4" fillId="7" borderId="8" xfId="0" applyNumberFormat="1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2" fontId="0" fillId="10" borderId="0" xfId="0" applyNumberFormat="1" applyFill="1"/>
    <xf numFmtId="0" fontId="3" fillId="7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167" fontId="12" fillId="0" borderId="3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" fontId="4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top" wrapText="1"/>
    </xf>
    <xf numFmtId="0" fontId="43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3" fillId="11" borderId="2" xfId="0" applyFont="1" applyFill="1" applyBorder="1" applyAlignment="1">
      <alignment horizontal="center" vertical="center" wrapText="1"/>
    </xf>
    <xf numFmtId="167" fontId="12" fillId="0" borderId="8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4" fontId="44" fillId="0" borderId="0" xfId="0" applyNumberFormat="1" applyFont="1"/>
    <xf numFmtId="0" fontId="44" fillId="0" borderId="0" xfId="0" applyFont="1"/>
    <xf numFmtId="166" fontId="13" fillId="0" borderId="2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3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4" fontId="10" fillId="0" borderId="0" xfId="1" applyNumberFormat="1" applyFill="1"/>
    <xf numFmtId="0" fontId="43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/>
    </xf>
    <xf numFmtId="166" fontId="14" fillId="0" borderId="2" xfId="1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/>
    </xf>
    <xf numFmtId="166" fontId="3" fillId="3" borderId="8" xfId="0" applyNumberFormat="1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 wrapText="1"/>
    </xf>
    <xf numFmtId="166" fontId="3" fillId="4" borderId="2" xfId="1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16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66" fontId="4" fillId="0" borderId="2" xfId="2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6" fillId="0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center"/>
    </xf>
    <xf numFmtId="166" fontId="15" fillId="0" borderId="0" xfId="1" applyNumberFormat="1" applyFont="1" applyFill="1"/>
    <xf numFmtId="0" fontId="14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166" fontId="10" fillId="0" borderId="0" xfId="1" applyNumberFormat="1" applyFill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6" fontId="12" fillId="0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0" fontId="3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7" borderId="2" xfId="1" applyFont="1" applyFill="1" applyBorder="1" applyAlignment="1">
      <alignment vertical="center" wrapText="1"/>
    </xf>
    <xf numFmtId="4" fontId="0" fillId="12" borderId="2" xfId="0" applyNumberForma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3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7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43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3" fillId="0" borderId="0" xfId="0" applyNumberFormat="1" applyFont="1" applyFill="1" applyAlignment="1">
      <alignment horizontal="left" vertical="top" wrapText="1"/>
    </xf>
    <xf numFmtId="0" fontId="45" fillId="0" borderId="3" xfId="0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45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0" fillId="0" borderId="0" xfId="0"/>
    <xf numFmtId="166" fontId="3" fillId="0" borderId="2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" fontId="0" fillId="0" borderId="17" xfId="0" applyNumberFormat="1" applyFill="1" applyBorder="1"/>
    <xf numFmtId="4" fontId="0" fillId="0" borderId="14" xfId="0" applyNumberFormat="1" applyFill="1" applyBorder="1"/>
    <xf numFmtId="0" fontId="0" fillId="0" borderId="0" xfId="0" applyFill="1" applyBorder="1" applyAlignment="1">
      <alignment vertical="center"/>
    </xf>
    <xf numFmtId="0" fontId="43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35" fillId="0" borderId="3" xfId="0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0" fillId="15" borderId="19" xfId="0" applyFill="1" applyBorder="1"/>
    <xf numFmtId="0" fontId="0" fillId="15" borderId="18" xfId="0" applyFill="1" applyBorder="1"/>
    <xf numFmtId="0" fontId="0" fillId="0" borderId="0" xfId="0" applyFill="1" applyBorder="1" applyAlignment="1">
      <alignment horizontal="center"/>
    </xf>
    <xf numFmtId="0" fontId="0" fillId="15" borderId="0" xfId="0" applyFill="1"/>
    <xf numFmtId="169" fontId="0" fillId="12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14" fontId="3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3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3" fillId="0" borderId="9" xfId="1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6" fontId="0" fillId="0" borderId="0" xfId="0" applyNumberFormat="1" applyFill="1"/>
    <xf numFmtId="14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3" fillId="0" borderId="0" xfId="0" applyNumberFormat="1" applyFont="1" applyFill="1" applyAlignment="1">
      <alignment horizontal="right"/>
    </xf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6" fillId="13" borderId="2" xfId="0" applyFont="1" applyFill="1" applyBorder="1" applyAlignment="1">
      <alignment horizontal="center" vertical="center" wrapText="1"/>
    </xf>
    <xf numFmtId="4" fontId="27" fillId="12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14" fontId="0" fillId="0" borderId="17" xfId="0" applyNumberFormat="1" applyFill="1" applyBorder="1"/>
    <xf numFmtId="0" fontId="0" fillId="2" borderId="0" xfId="0" applyFill="1" applyBorder="1"/>
    <xf numFmtId="14" fontId="0" fillId="2" borderId="0" xfId="0" applyNumberFormat="1" applyFill="1" applyBorder="1"/>
    <xf numFmtId="0" fontId="0" fillId="2" borderId="0" xfId="0" applyFill="1"/>
    <xf numFmtId="0" fontId="12" fillId="0" borderId="0" xfId="0" applyFont="1"/>
    <xf numFmtId="4" fontId="12" fillId="0" borderId="2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/>
    <xf numFmtId="4" fontId="12" fillId="0" borderId="0" xfId="0" applyNumberFormat="1" applyFont="1"/>
    <xf numFmtId="166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166" fontId="12" fillId="0" borderId="2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/>
    </xf>
    <xf numFmtId="166" fontId="41" fillId="0" borderId="0" xfId="0" applyNumberFormat="1" applyFont="1" applyFill="1"/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28" fillId="0" borderId="0" xfId="0" applyNumberFormat="1" applyFont="1" applyFill="1"/>
    <xf numFmtId="166" fontId="27" fillId="0" borderId="0" xfId="0" applyNumberFormat="1" applyFont="1"/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 horizontal="right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top" wrapText="1"/>
    </xf>
    <xf numFmtId="0" fontId="3" fillId="2" borderId="3" xfId="0" applyNumberFormat="1" applyFont="1" applyFill="1" applyBorder="1" applyAlignment="1">
      <alignment horizontal="justify" vertical="top" wrapText="1"/>
    </xf>
    <xf numFmtId="0" fontId="4" fillId="2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top" wrapText="1"/>
    </xf>
    <xf numFmtId="166" fontId="4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166" fontId="4" fillId="0" borderId="9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45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3" fillId="2" borderId="2" xfId="1" applyFont="1" applyFill="1" applyBorder="1" applyAlignment="1">
      <alignment horizontal="left" wrapText="1"/>
    </xf>
    <xf numFmtId="166" fontId="29" fillId="0" borderId="2" xfId="0" applyNumberFormat="1" applyFont="1" applyBorder="1" applyAlignment="1">
      <alignment wrapText="1"/>
    </xf>
    <xf numFmtId="166" fontId="30" fillId="0" borderId="2" xfId="0" applyNumberFormat="1" applyFont="1" applyBorder="1" applyAlignment="1">
      <alignment wrapText="1"/>
    </xf>
    <xf numFmtId="166" fontId="42" fillId="0" borderId="2" xfId="0" applyNumberFormat="1" applyFont="1" applyBorder="1" applyAlignment="1">
      <alignment horizontal="center" wrapText="1"/>
    </xf>
    <xf numFmtId="166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3" fillId="13" borderId="3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3" fillId="0" borderId="0" xfId="1" applyNumberFormat="1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166" fontId="3" fillId="0" borderId="0" xfId="1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2" xfId="0" applyFont="1" applyBorder="1" applyAlignment="1">
      <alignment horizontal="left" wrapText="1"/>
    </xf>
    <xf numFmtId="0" fontId="0" fillId="0" borderId="0" xfId="0" applyFill="1" applyAlignment="1"/>
    <xf numFmtId="0" fontId="12" fillId="0" borderId="0" xfId="0" applyFont="1" applyAlignment="1">
      <alignment horizontal="left"/>
    </xf>
  </cellXfs>
  <cellStyles count="5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" builtinId="8"/>
    <cellStyle name="Гиперссылка 2" xfId="31"/>
    <cellStyle name="Денежный 2" xfId="32"/>
    <cellStyle name="Денежный 2 2" xfId="50"/>
    <cellStyle name="Денежный 3" xfId="49"/>
    <cellStyle name="Денежный 3 2" xfId="5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41"/>
    <cellStyle name="Обычный 3" xfId="48"/>
    <cellStyle name="Обычный 3 2" xfId="5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" xfId="2" builtinId="3"/>
    <cellStyle name="Хороший 2" xfId="4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at\Desktop\&#1055;&#1086;&#1089;&#1090;&#1091;&#1087;&#1083;&#1077;&#1085;&#1080;&#1077;%20&#1076;&#1086;&#1093;&#1086;&#1076;&#1086;&#1074;%20&#1079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  <row r="130">
          <cell r="C130">
            <v>2829.1</v>
          </cell>
        </row>
        <row r="132">
          <cell r="C132">
            <v>341.4</v>
          </cell>
        </row>
        <row r="134">
          <cell r="C134">
            <v>1334.3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69">
          <cell r="F269">
            <v>0</v>
          </cell>
        </row>
        <row r="270">
          <cell r="F270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29">
          <cell r="F329">
            <v>0</v>
          </cell>
        </row>
        <row r="330">
          <cell r="F330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400">
          <cell r="F400">
            <v>0</v>
          </cell>
        </row>
        <row r="401">
          <cell r="F401">
            <v>0</v>
          </cell>
        </row>
        <row r="402">
          <cell r="F402">
            <v>0</v>
          </cell>
        </row>
        <row r="423">
          <cell r="F423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56">
          <cell r="F656">
            <v>0</v>
          </cell>
        </row>
        <row r="657">
          <cell r="F657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753">
          <cell r="F753">
            <v>983</v>
          </cell>
        </row>
        <row r="754">
          <cell r="F754">
            <v>983</v>
          </cell>
        </row>
        <row r="800">
          <cell r="F800">
            <v>0</v>
          </cell>
        </row>
        <row r="801">
          <cell r="F801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</sheetData>
      <sheetData sheetId="5"/>
      <sheetData sheetId="6">
        <row r="47">
          <cell r="G47">
            <v>40.5</v>
          </cell>
        </row>
        <row r="99">
          <cell r="G99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99">
          <cell r="G299">
            <v>0</v>
          </cell>
        </row>
        <row r="300">
          <cell r="G300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408">
          <cell r="G408">
            <v>0</v>
          </cell>
        </row>
        <row r="409">
          <cell r="G409">
            <v>0</v>
          </cell>
        </row>
        <row r="456">
          <cell r="G456">
            <v>420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84">
          <cell r="G784">
            <v>769.23</v>
          </cell>
        </row>
        <row r="859">
          <cell r="G859">
            <v>0</v>
          </cell>
        </row>
        <row r="860">
          <cell r="G860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83">
          <cell r="G883">
            <v>0</v>
          </cell>
        </row>
        <row r="888">
          <cell r="G888">
            <v>0</v>
          </cell>
        </row>
        <row r="889">
          <cell r="G889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73">
          <cell r="G973">
            <v>0</v>
          </cell>
        </row>
        <row r="974">
          <cell r="G974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</sheetNames>
    <sheetDataSet>
      <sheetData sheetId="0">
        <row r="85">
          <cell r="C85">
            <v>607205.41187999991</v>
          </cell>
        </row>
        <row r="88">
          <cell r="C88">
            <v>154837</v>
          </cell>
        </row>
        <row r="123">
          <cell r="C123">
            <v>0</v>
          </cell>
        </row>
        <row r="130">
          <cell r="C130">
            <v>247.3</v>
          </cell>
        </row>
        <row r="131">
          <cell r="C131">
            <v>16158.20347</v>
          </cell>
        </row>
        <row r="132">
          <cell r="C132">
            <v>2729.2570000000001</v>
          </cell>
        </row>
        <row r="199">
          <cell r="C199">
            <v>936302.3528799999</v>
          </cell>
          <cell r="D199">
            <v>935600.41100000008</v>
          </cell>
          <cell r="E199">
            <v>99.925030426566735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0"/>
  <sheetViews>
    <sheetView view="pageBreakPreview" topLeftCell="A185" zoomScale="80" zoomScaleNormal="100" zoomScaleSheetLayoutView="80" workbookViewId="0">
      <selection activeCell="E10" sqref="E10"/>
    </sheetView>
  </sheetViews>
  <sheetFormatPr defaultRowHeight="15" x14ac:dyDescent="0.25"/>
  <cols>
    <col min="1" max="1" width="25" style="192" customWidth="1"/>
    <col min="2" max="2" width="76.28515625" style="171" customWidth="1"/>
    <col min="3" max="3" width="16" style="115" customWidth="1"/>
    <col min="4" max="4" width="15.7109375" style="115" customWidth="1"/>
    <col min="5" max="5" width="13.42578125" customWidth="1"/>
    <col min="6" max="6" width="15.5703125" customWidth="1"/>
  </cols>
  <sheetData>
    <row r="1" spans="1:7" ht="15.75" x14ac:dyDescent="0.25">
      <c r="A1" s="128"/>
      <c r="B1" s="461"/>
      <c r="C1" s="472" t="s">
        <v>1824</v>
      </c>
      <c r="D1" s="551" t="s">
        <v>1825</v>
      </c>
      <c r="E1" s="551"/>
    </row>
    <row r="2" spans="1:7" ht="15.75" x14ac:dyDescent="0.25">
      <c r="A2" s="128"/>
      <c r="B2" s="461"/>
      <c r="C2" s="472"/>
      <c r="D2" s="551" t="s">
        <v>1826</v>
      </c>
      <c r="E2" s="551"/>
    </row>
    <row r="3" spans="1:7" ht="15.75" x14ac:dyDescent="0.25">
      <c r="A3" s="128"/>
      <c r="B3" s="130"/>
      <c r="C3" s="472"/>
      <c r="D3" s="551" t="s">
        <v>1827</v>
      </c>
      <c r="E3" s="551"/>
    </row>
    <row r="4" spans="1:7" ht="15.75" x14ac:dyDescent="0.25">
      <c r="A4" s="548" t="s">
        <v>1823</v>
      </c>
      <c r="B4" s="548"/>
      <c r="C4" s="548"/>
      <c r="D4" s="548"/>
      <c r="E4" s="548"/>
    </row>
    <row r="5" spans="1:7" ht="15.75" x14ac:dyDescent="0.25">
      <c r="A5" s="131"/>
      <c r="B5" s="131"/>
      <c r="C5" s="323"/>
      <c r="D5" s="468"/>
    </row>
    <row r="6" spans="1:7" ht="59.25" customHeight="1" x14ac:dyDescent="0.25">
      <c r="A6" s="132" t="s">
        <v>2</v>
      </c>
      <c r="B6" s="133" t="s">
        <v>3</v>
      </c>
      <c r="C6" s="336" t="s">
        <v>1703</v>
      </c>
      <c r="D6" s="336" t="s">
        <v>1705</v>
      </c>
      <c r="E6" s="336" t="s">
        <v>1704</v>
      </c>
    </row>
    <row r="7" spans="1:7" ht="15.75" x14ac:dyDescent="0.25">
      <c r="A7" s="134" t="s">
        <v>5</v>
      </c>
      <c r="B7" s="135" t="s">
        <v>6</v>
      </c>
      <c r="C7" s="492">
        <f>C8+C15+C21+C31+C39+C42+C50+C57+C60+C65+C79</f>
        <v>329096.94099999999</v>
      </c>
      <c r="D7" s="492">
        <f>D8+D15+D21+D31+D39+D42+D50+D57+D60+D65+D79</f>
        <v>342803.37900000007</v>
      </c>
      <c r="E7" s="492">
        <f t="shared" ref="E7:E13" si="0">D7/C7*100</f>
        <v>104.16486338595293</v>
      </c>
      <c r="F7" s="22"/>
    </row>
    <row r="8" spans="1:7" ht="15.75" x14ac:dyDescent="0.25">
      <c r="A8" s="136" t="s">
        <v>7</v>
      </c>
      <c r="B8" s="135" t="s">
        <v>8</v>
      </c>
      <c r="C8" s="492">
        <f>C9</f>
        <v>260443.541</v>
      </c>
      <c r="D8" s="492">
        <f>D9</f>
        <v>264564.28500000003</v>
      </c>
      <c r="E8" s="492">
        <f t="shared" si="0"/>
        <v>101.58220241676104</v>
      </c>
    </row>
    <row r="9" spans="1:7" ht="15.75" x14ac:dyDescent="0.25">
      <c r="A9" s="137" t="s">
        <v>9</v>
      </c>
      <c r="B9" s="138" t="s">
        <v>10</v>
      </c>
      <c r="C9" s="492">
        <f>SUM(C10:C13)</f>
        <v>260443.541</v>
      </c>
      <c r="D9" s="492">
        <f>SUM(D10:D14)</f>
        <v>264564.28500000003</v>
      </c>
      <c r="E9" s="492">
        <f t="shared" si="0"/>
        <v>101.58220241676104</v>
      </c>
    </row>
    <row r="10" spans="1:7" ht="64.5" customHeight="1" x14ac:dyDescent="0.25">
      <c r="A10" s="190" t="s">
        <v>11</v>
      </c>
      <c r="B10" s="139" t="s">
        <v>12</v>
      </c>
      <c r="C10" s="389">
        <f>210036+19491.2+1336+140+205.9</f>
        <v>231209.1</v>
      </c>
      <c r="D10" s="389">
        <v>231332.81700000001</v>
      </c>
      <c r="E10" s="389">
        <f t="shared" si="0"/>
        <v>100.0535087070535</v>
      </c>
    </row>
    <row r="11" spans="1:7" ht="94.5" x14ac:dyDescent="0.25">
      <c r="A11" s="190" t="s">
        <v>13</v>
      </c>
      <c r="B11" s="140" t="s">
        <v>14</v>
      </c>
      <c r="C11" s="389">
        <v>856</v>
      </c>
      <c r="D11" s="389">
        <v>2665.5349999999999</v>
      </c>
      <c r="E11" s="389">
        <f t="shared" si="0"/>
        <v>311.39427570093454</v>
      </c>
    </row>
    <row r="12" spans="1:7" ht="47.25" x14ac:dyDescent="0.25">
      <c r="A12" s="190" t="s">
        <v>15</v>
      </c>
      <c r="B12" s="140" t="s">
        <v>16</v>
      </c>
      <c r="C12" s="389">
        <f>1175+8863.1+2708.4+7000+1028+15-8.6+512.335+25+38+63.806+58+6354.4</f>
        <v>27832.440999999999</v>
      </c>
      <c r="D12" s="389">
        <v>26677.879000000001</v>
      </c>
      <c r="E12" s="389">
        <f t="shared" si="0"/>
        <v>95.851740061175377</v>
      </c>
    </row>
    <row r="13" spans="1:7" ht="78.75" x14ac:dyDescent="0.25">
      <c r="A13" s="190" t="s">
        <v>17</v>
      </c>
      <c r="B13" s="140" t="s">
        <v>18</v>
      </c>
      <c r="C13" s="389">
        <v>546</v>
      </c>
      <c r="D13" s="389">
        <v>38.572000000000003</v>
      </c>
      <c r="E13" s="389">
        <f t="shared" si="0"/>
        <v>7.0644688644688642</v>
      </c>
    </row>
    <row r="14" spans="1:7" ht="78.75" x14ac:dyDescent="0.25">
      <c r="A14" s="502" t="s">
        <v>1706</v>
      </c>
      <c r="B14" s="503" t="s">
        <v>1707</v>
      </c>
      <c r="C14" s="389">
        <v>0</v>
      </c>
      <c r="D14" s="389">
        <v>3849.482</v>
      </c>
      <c r="E14" s="389" t="s">
        <v>1708</v>
      </c>
      <c r="F14" s="22"/>
    </row>
    <row r="15" spans="1:7" ht="31.5" x14ac:dyDescent="0.25">
      <c r="A15" s="141" t="s">
        <v>19</v>
      </c>
      <c r="B15" s="142" t="s">
        <v>20</v>
      </c>
      <c r="C15" s="492">
        <f>C16</f>
        <v>2984.3999999999996</v>
      </c>
      <c r="D15" s="492">
        <f>D16</f>
        <v>3041.7759999999998</v>
      </c>
      <c r="E15" s="492">
        <f>D15/C15*100</f>
        <v>101.92253049189117</v>
      </c>
    </row>
    <row r="16" spans="1:7" ht="31.5" x14ac:dyDescent="0.25">
      <c r="A16" s="178" t="s">
        <v>21</v>
      </c>
      <c r="B16" s="179" t="s">
        <v>22</v>
      </c>
      <c r="C16" s="492">
        <f>SUM(C17:C19)</f>
        <v>2984.3999999999996</v>
      </c>
      <c r="D16" s="492">
        <f>SUM(D17:D20)</f>
        <v>3041.7759999999998</v>
      </c>
      <c r="E16" s="492">
        <f>D16/C16*100</f>
        <v>101.92253049189117</v>
      </c>
      <c r="F16" s="464"/>
      <c r="G16" s="464"/>
    </row>
    <row r="17" spans="1:7" ht="118.5" customHeight="1" x14ac:dyDescent="0.25">
      <c r="A17" s="143" t="s">
        <v>1520</v>
      </c>
      <c r="B17" s="140" t="s">
        <v>1536</v>
      </c>
      <c r="C17" s="389">
        <f>1064.8+221.1</f>
        <v>1285.8999999999999</v>
      </c>
      <c r="D17" s="389">
        <v>1404.2650000000001</v>
      </c>
      <c r="E17" s="389">
        <f>D17/C17*100</f>
        <v>109.20483707908859</v>
      </c>
      <c r="F17" s="464"/>
      <c r="G17" s="464"/>
    </row>
    <row r="18" spans="1:7" ht="98.45" customHeight="1" x14ac:dyDescent="0.25">
      <c r="A18" s="499" t="s">
        <v>1521</v>
      </c>
      <c r="B18" s="140" t="s">
        <v>1537</v>
      </c>
      <c r="C18" s="389">
        <f>6.1+1.3</f>
        <v>7.3999999999999995</v>
      </c>
      <c r="D18" s="389">
        <v>9.875</v>
      </c>
      <c r="E18" s="389">
        <f>D18/C18*100</f>
        <v>133.44594594594597</v>
      </c>
      <c r="F18" s="464"/>
      <c r="G18" s="464"/>
    </row>
    <row r="19" spans="1:7" ht="110.25" x14ac:dyDescent="0.25">
      <c r="A19" s="499" t="s">
        <v>1522</v>
      </c>
      <c r="B19" s="140" t="s">
        <v>1538</v>
      </c>
      <c r="C19" s="389">
        <f>1248.1+443</f>
        <v>1691.1</v>
      </c>
      <c r="D19" s="389">
        <v>1867.0989999999999</v>
      </c>
      <c r="E19" s="389">
        <f>D19/C19*100</f>
        <v>110.40736798533499</v>
      </c>
    </row>
    <row r="20" spans="1:7" ht="94.5" x14ac:dyDescent="0.25">
      <c r="A20" s="499" t="s">
        <v>1709</v>
      </c>
      <c r="B20" s="504" t="s">
        <v>1710</v>
      </c>
      <c r="C20" s="389">
        <v>0</v>
      </c>
      <c r="D20" s="389">
        <v>-239.46299999999999</v>
      </c>
      <c r="E20" s="389" t="s">
        <v>1708</v>
      </c>
    </row>
    <row r="21" spans="1:7" s="191" customFormat="1" ht="15.75" x14ac:dyDescent="0.25">
      <c r="A21" s="137" t="s">
        <v>23</v>
      </c>
      <c r="B21" s="138" t="s">
        <v>24</v>
      </c>
      <c r="C21" s="492">
        <f>SUM(C22+C27+C29)</f>
        <v>16053.8</v>
      </c>
      <c r="D21" s="492">
        <f>SUM(D22+D27+D29)</f>
        <v>20568.325000000001</v>
      </c>
      <c r="E21" s="492">
        <f t="shared" ref="E21:E47" si="1">D21/C21*100</f>
        <v>128.12122363552555</v>
      </c>
    </row>
    <row r="22" spans="1:7" ht="31.5" x14ac:dyDescent="0.25">
      <c r="A22" s="134" t="s">
        <v>25</v>
      </c>
      <c r="B22" s="138" t="s">
        <v>26</v>
      </c>
      <c r="C22" s="492">
        <f>C23+C25</f>
        <v>13524.8</v>
      </c>
      <c r="D22" s="492">
        <f>D23+D25</f>
        <v>12299.9</v>
      </c>
      <c r="E22" s="492">
        <f t="shared" si="1"/>
        <v>90.943304152371937</v>
      </c>
    </row>
    <row r="23" spans="1:7" s="191" customFormat="1" ht="31.5" x14ac:dyDescent="0.25">
      <c r="A23" s="134" t="s">
        <v>1116</v>
      </c>
      <c r="B23" s="195" t="s">
        <v>28</v>
      </c>
      <c r="C23" s="492">
        <f>C24</f>
        <v>6762.4</v>
      </c>
      <c r="D23" s="492">
        <f>D24</f>
        <v>11283.8</v>
      </c>
      <c r="E23" s="492">
        <f t="shared" si="1"/>
        <v>166.86087779486573</v>
      </c>
    </row>
    <row r="24" spans="1:7" ht="31.5" x14ac:dyDescent="0.25">
      <c r="A24" s="132" t="s">
        <v>27</v>
      </c>
      <c r="B24" s="98" t="s">
        <v>28</v>
      </c>
      <c r="C24" s="389">
        <v>6762.4</v>
      </c>
      <c r="D24" s="389">
        <v>11283.8</v>
      </c>
      <c r="E24" s="389">
        <f t="shared" si="1"/>
        <v>166.86087779486573</v>
      </c>
    </row>
    <row r="25" spans="1:7" ht="31.5" customHeight="1" x14ac:dyDescent="0.25">
      <c r="A25" s="134" t="s">
        <v>1115</v>
      </c>
      <c r="B25" s="226" t="s">
        <v>1114</v>
      </c>
      <c r="C25" s="492">
        <f>C26</f>
        <v>6762.4</v>
      </c>
      <c r="D25" s="492">
        <f>D26</f>
        <v>1016.1</v>
      </c>
      <c r="E25" s="492">
        <f t="shared" si="1"/>
        <v>15.025730509878152</v>
      </c>
    </row>
    <row r="26" spans="1:7" ht="21.75" customHeight="1" x14ac:dyDescent="0.25">
      <c r="A26" s="132" t="s">
        <v>29</v>
      </c>
      <c r="B26" s="144" t="s">
        <v>30</v>
      </c>
      <c r="C26" s="389">
        <f>C24</f>
        <v>6762.4</v>
      </c>
      <c r="D26" s="389">
        <v>1016.1</v>
      </c>
      <c r="E26" s="389">
        <f t="shared" si="1"/>
        <v>15.025730509878152</v>
      </c>
    </row>
    <row r="27" spans="1:7" s="191" customFormat="1" ht="36" customHeight="1" x14ac:dyDescent="0.25">
      <c r="A27" s="134" t="s">
        <v>31</v>
      </c>
      <c r="B27" s="505" t="s">
        <v>32</v>
      </c>
      <c r="C27" s="492">
        <f>SUM(C28:C28)</f>
        <v>2159</v>
      </c>
      <c r="D27" s="492">
        <f>SUM(D28:D28)</f>
        <v>3500.8</v>
      </c>
      <c r="E27" s="492">
        <f t="shared" si="1"/>
        <v>162.14914312181565</v>
      </c>
    </row>
    <row r="28" spans="1:7" ht="15.75" x14ac:dyDescent="0.25">
      <c r="A28" s="190" t="s">
        <v>33</v>
      </c>
      <c r="B28" s="139" t="s">
        <v>32</v>
      </c>
      <c r="C28" s="389">
        <v>2159</v>
      </c>
      <c r="D28" s="389">
        <v>3500.8</v>
      </c>
      <c r="E28" s="389">
        <f t="shared" si="1"/>
        <v>162.14914312181565</v>
      </c>
    </row>
    <row r="29" spans="1:7" ht="31.5" x14ac:dyDescent="0.25">
      <c r="A29" s="134" t="s">
        <v>1124</v>
      </c>
      <c r="B29" s="145" t="s">
        <v>1117</v>
      </c>
      <c r="C29" s="492">
        <f>C30</f>
        <v>370</v>
      </c>
      <c r="D29" s="492">
        <f>D30</f>
        <v>4767.625</v>
      </c>
      <c r="E29" s="389">
        <f t="shared" si="1"/>
        <v>1288.5472972972973</v>
      </c>
    </row>
    <row r="30" spans="1:7" ht="31.5" x14ac:dyDescent="0.25">
      <c r="A30" s="132" t="s">
        <v>34</v>
      </c>
      <c r="B30" s="220" t="s">
        <v>35</v>
      </c>
      <c r="C30" s="389">
        <v>370</v>
      </c>
      <c r="D30" s="389">
        <v>4767.625</v>
      </c>
      <c r="E30" s="389">
        <f t="shared" si="1"/>
        <v>1288.5472972972973</v>
      </c>
    </row>
    <row r="31" spans="1:7" ht="15.75" x14ac:dyDescent="0.25">
      <c r="A31" s="137" t="s">
        <v>36</v>
      </c>
      <c r="B31" s="138" t="s">
        <v>37</v>
      </c>
      <c r="C31" s="492">
        <f>C32+C34</f>
        <v>1578</v>
      </c>
      <c r="D31" s="492">
        <f>D32+D34</f>
        <v>2211.3199999999997</v>
      </c>
      <c r="E31" s="492">
        <f t="shared" si="1"/>
        <v>140.13434727503167</v>
      </c>
    </row>
    <row r="32" spans="1:7" ht="15.75" x14ac:dyDescent="0.25">
      <c r="A32" s="137" t="s">
        <v>38</v>
      </c>
      <c r="B32" s="138" t="s">
        <v>39</v>
      </c>
      <c r="C32" s="492">
        <f>C33</f>
        <v>900</v>
      </c>
      <c r="D32" s="492">
        <f>D33</f>
        <v>1477.02</v>
      </c>
      <c r="E32" s="492">
        <f t="shared" si="1"/>
        <v>164.11333333333334</v>
      </c>
    </row>
    <row r="33" spans="1:6" s="191" customFormat="1" ht="47.25" x14ac:dyDescent="0.25">
      <c r="A33" s="190" t="s">
        <v>40</v>
      </c>
      <c r="B33" s="144" t="s">
        <v>41</v>
      </c>
      <c r="C33" s="389">
        <v>900</v>
      </c>
      <c r="D33" s="389">
        <v>1477.02</v>
      </c>
      <c r="E33" s="389">
        <f t="shared" si="1"/>
        <v>164.11333333333334</v>
      </c>
    </row>
    <row r="34" spans="1:6" ht="15.75" x14ac:dyDescent="0.25">
      <c r="A34" s="137" t="s">
        <v>42</v>
      </c>
      <c r="B34" s="138" t="s">
        <v>43</v>
      </c>
      <c r="C34" s="492">
        <f>C35+C37</f>
        <v>678</v>
      </c>
      <c r="D34" s="492">
        <f>D35+D37</f>
        <v>734.3</v>
      </c>
      <c r="E34" s="492">
        <f t="shared" si="1"/>
        <v>108.30383480825958</v>
      </c>
    </row>
    <row r="35" spans="1:6" s="191" customFormat="1" ht="15.75" x14ac:dyDescent="0.25">
      <c r="A35" s="137" t="s">
        <v>1126</v>
      </c>
      <c r="B35" s="138" t="s">
        <v>1125</v>
      </c>
      <c r="C35" s="492">
        <f>C36</f>
        <v>521</v>
      </c>
      <c r="D35" s="492">
        <f>D36</f>
        <v>630.29999999999995</v>
      </c>
      <c r="E35" s="492">
        <f t="shared" si="1"/>
        <v>120.978886756238</v>
      </c>
    </row>
    <row r="36" spans="1:6" ht="31.5" x14ac:dyDescent="0.25">
      <c r="A36" s="190" t="s">
        <v>44</v>
      </c>
      <c r="B36" s="144" t="s">
        <v>45</v>
      </c>
      <c r="C36" s="389">
        <v>521</v>
      </c>
      <c r="D36" s="389">
        <v>630.29999999999995</v>
      </c>
      <c r="E36" s="389">
        <f t="shared" si="1"/>
        <v>120.978886756238</v>
      </c>
    </row>
    <row r="37" spans="1:6" ht="15.75" x14ac:dyDescent="0.25">
      <c r="A37" s="137" t="s">
        <v>1128</v>
      </c>
      <c r="B37" s="138" t="s">
        <v>1127</v>
      </c>
      <c r="C37" s="492">
        <f>C38</f>
        <v>157</v>
      </c>
      <c r="D37" s="492">
        <f>D38</f>
        <v>104</v>
      </c>
      <c r="E37" s="492">
        <f t="shared" si="1"/>
        <v>66.242038216560502</v>
      </c>
    </row>
    <row r="38" spans="1:6" ht="31.5" x14ac:dyDescent="0.25">
      <c r="A38" s="190" t="s">
        <v>46</v>
      </c>
      <c r="B38" s="144" t="s">
        <v>47</v>
      </c>
      <c r="C38" s="389">
        <v>157</v>
      </c>
      <c r="D38" s="389">
        <v>104</v>
      </c>
      <c r="E38" s="389">
        <f t="shared" si="1"/>
        <v>66.242038216560502</v>
      </c>
    </row>
    <row r="39" spans="1:6" ht="15.75" x14ac:dyDescent="0.25">
      <c r="A39" s="137" t="s">
        <v>48</v>
      </c>
      <c r="B39" s="138" t="s">
        <v>49</v>
      </c>
      <c r="C39" s="492">
        <f>C40</f>
        <v>1534</v>
      </c>
      <c r="D39" s="492">
        <f>D40</f>
        <v>1311</v>
      </c>
      <c r="E39" s="492">
        <f t="shared" si="1"/>
        <v>85.462842242503257</v>
      </c>
    </row>
    <row r="40" spans="1:6" ht="36" customHeight="1" x14ac:dyDescent="0.25">
      <c r="A40" s="137" t="s">
        <v>50</v>
      </c>
      <c r="B40" s="138" t="s">
        <v>51</v>
      </c>
      <c r="C40" s="492">
        <f>C41</f>
        <v>1534</v>
      </c>
      <c r="D40" s="492">
        <f>D41</f>
        <v>1311</v>
      </c>
      <c r="E40" s="492">
        <f t="shared" si="1"/>
        <v>85.462842242503257</v>
      </c>
    </row>
    <row r="41" spans="1:6" ht="47.25" x14ac:dyDescent="0.25">
      <c r="A41" s="190" t="s">
        <v>52</v>
      </c>
      <c r="B41" s="139" t="s">
        <v>53</v>
      </c>
      <c r="C41" s="389">
        <v>1534</v>
      </c>
      <c r="D41" s="389">
        <v>1311</v>
      </c>
      <c r="E41" s="389">
        <f t="shared" si="1"/>
        <v>85.462842242503257</v>
      </c>
    </row>
    <row r="42" spans="1:6" ht="47.25" x14ac:dyDescent="0.25">
      <c r="A42" s="137" t="s">
        <v>54</v>
      </c>
      <c r="B42" s="146" t="s">
        <v>55</v>
      </c>
      <c r="C42" s="492">
        <f>C43</f>
        <v>45000</v>
      </c>
      <c r="D42" s="492">
        <f>D43</f>
        <v>46812.311999999998</v>
      </c>
      <c r="E42" s="492">
        <f t="shared" si="1"/>
        <v>104.02735999999999</v>
      </c>
    </row>
    <row r="43" spans="1:6" ht="71.45" customHeight="1" x14ac:dyDescent="0.25">
      <c r="A43" s="137" t="s">
        <v>56</v>
      </c>
      <c r="B43" s="146" t="s">
        <v>57</v>
      </c>
      <c r="C43" s="492">
        <f>C44+C46</f>
        <v>45000</v>
      </c>
      <c r="D43" s="492">
        <f>D44+D46+D48</f>
        <v>46812.311999999998</v>
      </c>
      <c r="E43" s="492">
        <f t="shared" si="1"/>
        <v>104.02735999999999</v>
      </c>
    </row>
    <row r="44" spans="1:6" ht="63" x14ac:dyDescent="0.25">
      <c r="A44" s="137" t="s">
        <v>58</v>
      </c>
      <c r="B44" s="138" t="s">
        <v>59</v>
      </c>
      <c r="C44" s="492">
        <f>C45</f>
        <v>40000</v>
      </c>
      <c r="D44" s="492">
        <f>D45</f>
        <v>42899.682000000001</v>
      </c>
      <c r="E44" s="492">
        <f t="shared" si="1"/>
        <v>107.24920499999999</v>
      </c>
    </row>
    <row r="45" spans="1:6" ht="63" x14ac:dyDescent="0.25">
      <c r="A45" s="190" t="s">
        <v>60</v>
      </c>
      <c r="B45" s="144" t="s">
        <v>61</v>
      </c>
      <c r="C45" s="389">
        <v>40000</v>
      </c>
      <c r="D45" s="389">
        <v>42899.682000000001</v>
      </c>
      <c r="E45" s="389">
        <f t="shared" si="1"/>
        <v>107.24920499999999</v>
      </c>
    </row>
    <row r="46" spans="1:6" ht="26.45" customHeight="1" x14ac:dyDescent="0.25">
      <c r="A46" s="137" t="s">
        <v>62</v>
      </c>
      <c r="B46" s="138" t="s">
        <v>63</v>
      </c>
      <c r="C46" s="492">
        <f>C47</f>
        <v>5000</v>
      </c>
      <c r="D46" s="492">
        <f>D47</f>
        <v>3912.43</v>
      </c>
      <c r="E46" s="492">
        <f t="shared" si="1"/>
        <v>78.248599999999996</v>
      </c>
      <c r="F46" s="462"/>
    </row>
    <row r="47" spans="1:6" ht="31.5" x14ac:dyDescent="0.25">
      <c r="A47" s="190" t="s">
        <v>64</v>
      </c>
      <c r="B47" s="144" t="s">
        <v>65</v>
      </c>
      <c r="C47" s="389">
        <v>5000</v>
      </c>
      <c r="D47" s="389">
        <v>3912.43</v>
      </c>
      <c r="E47" s="389">
        <f t="shared" si="1"/>
        <v>78.248599999999996</v>
      </c>
    </row>
    <row r="48" spans="1:6" ht="31.5" x14ac:dyDescent="0.25">
      <c r="A48" s="137" t="s">
        <v>1711</v>
      </c>
      <c r="B48" s="138" t="s">
        <v>1712</v>
      </c>
      <c r="C48" s="492">
        <f>C49</f>
        <v>0</v>
      </c>
      <c r="D48" s="492">
        <f>D49</f>
        <v>0.2</v>
      </c>
      <c r="E48" s="492" t="s">
        <v>1708</v>
      </c>
    </row>
    <row r="49" spans="1:5" ht="31.5" x14ac:dyDescent="0.25">
      <c r="A49" s="190" t="s">
        <v>1713</v>
      </c>
      <c r="B49" s="144" t="s">
        <v>1712</v>
      </c>
      <c r="C49" s="389">
        <v>0</v>
      </c>
      <c r="D49" s="389">
        <v>0.2</v>
      </c>
      <c r="E49" s="389" t="s">
        <v>1708</v>
      </c>
    </row>
    <row r="50" spans="1:5" ht="15.75" x14ac:dyDescent="0.25">
      <c r="A50" s="137" t="s">
        <v>66</v>
      </c>
      <c r="B50" s="146" t="s">
        <v>67</v>
      </c>
      <c r="C50" s="492">
        <f>SUM(C51)</f>
        <v>433.7</v>
      </c>
      <c r="D50" s="492">
        <f>SUM(D51)</f>
        <v>77.149000000000001</v>
      </c>
      <c r="E50" s="492">
        <f>D50/C50*100</f>
        <v>17.788563523172702</v>
      </c>
    </row>
    <row r="51" spans="1:5" ht="15.75" x14ac:dyDescent="0.25">
      <c r="A51" s="137" t="s">
        <v>68</v>
      </c>
      <c r="B51" s="146" t="s">
        <v>69</v>
      </c>
      <c r="C51" s="492">
        <f>C52+C53+C54</f>
        <v>433.7</v>
      </c>
      <c r="D51" s="492">
        <f>D52+D53+D54</f>
        <v>77.149000000000001</v>
      </c>
      <c r="E51" s="492">
        <f>D51/C51*100</f>
        <v>17.788563523172702</v>
      </c>
    </row>
    <row r="52" spans="1:5" ht="31.5" x14ac:dyDescent="0.25">
      <c r="A52" s="137" t="s">
        <v>70</v>
      </c>
      <c r="B52" s="146" t="s">
        <v>71</v>
      </c>
      <c r="C52" s="389">
        <f>405-355.2+18</f>
        <v>67.800000000000011</v>
      </c>
      <c r="D52" s="389">
        <v>67.826999999999998</v>
      </c>
      <c r="E52" s="389">
        <f>D52/C52*100</f>
        <v>100.03982300884955</v>
      </c>
    </row>
    <row r="53" spans="1:5" ht="15.75" x14ac:dyDescent="0.25">
      <c r="A53" s="137" t="s">
        <v>72</v>
      </c>
      <c r="B53" s="146" t="s">
        <v>73</v>
      </c>
      <c r="C53" s="389">
        <f>228.8-123.8+260.9</f>
        <v>365.9</v>
      </c>
      <c r="D53" s="389">
        <v>365.9</v>
      </c>
      <c r="E53" s="389">
        <f>D53/C53*100</f>
        <v>100</v>
      </c>
    </row>
    <row r="54" spans="1:5" ht="15.75" x14ac:dyDescent="0.25">
      <c r="A54" s="137" t="s">
        <v>1714</v>
      </c>
      <c r="B54" s="219" t="s">
        <v>1118</v>
      </c>
      <c r="C54" s="492">
        <f>C55+C56</f>
        <v>0</v>
      </c>
      <c r="D54" s="492">
        <f>D55+D56</f>
        <v>-356.57799999999997</v>
      </c>
      <c r="E54" s="492" t="s">
        <v>1708</v>
      </c>
    </row>
    <row r="55" spans="1:5" ht="15.75" x14ac:dyDescent="0.25">
      <c r="A55" s="190" t="s">
        <v>795</v>
      </c>
      <c r="B55" s="139" t="s">
        <v>796</v>
      </c>
      <c r="C55" s="389">
        <f>3588-1265.4-1811.4-511.2</f>
        <v>0</v>
      </c>
      <c r="D55" s="389">
        <v>-356.57799999999997</v>
      </c>
      <c r="E55" s="389" t="s">
        <v>1708</v>
      </c>
    </row>
    <row r="56" spans="1:5" ht="15.75" x14ac:dyDescent="0.25">
      <c r="A56" s="190" t="s">
        <v>797</v>
      </c>
      <c r="B56" s="139" t="s">
        <v>798</v>
      </c>
      <c r="C56" s="389">
        <f>131-60.2-70.8</f>
        <v>0</v>
      </c>
      <c r="D56" s="389">
        <v>0</v>
      </c>
      <c r="E56" s="389" t="s">
        <v>1708</v>
      </c>
    </row>
    <row r="57" spans="1:5" ht="31.5" x14ac:dyDescent="0.25">
      <c r="A57" s="137" t="s">
        <v>74</v>
      </c>
      <c r="B57" s="146" t="s">
        <v>75</v>
      </c>
      <c r="C57" s="492">
        <f>C59</f>
        <v>828.5</v>
      </c>
      <c r="D57" s="492">
        <f>D59</f>
        <v>1964.5</v>
      </c>
      <c r="E57" s="492">
        <f t="shared" ref="E57:E68" si="2">D57/C57*100</f>
        <v>237.11526855763427</v>
      </c>
    </row>
    <row r="58" spans="1:5" ht="15.75" x14ac:dyDescent="0.25">
      <c r="A58" s="137" t="s">
        <v>76</v>
      </c>
      <c r="B58" s="146" t="s">
        <v>77</v>
      </c>
      <c r="C58" s="492">
        <f>C59</f>
        <v>828.5</v>
      </c>
      <c r="D58" s="492">
        <f>D59</f>
        <v>1964.5</v>
      </c>
      <c r="E58" s="492">
        <f t="shared" si="2"/>
        <v>237.11526855763427</v>
      </c>
    </row>
    <row r="59" spans="1:5" ht="31.5" x14ac:dyDescent="0.25">
      <c r="A59" s="190" t="s">
        <v>78</v>
      </c>
      <c r="B59" s="139" t="s">
        <v>79</v>
      </c>
      <c r="C59" s="389">
        <v>828.5</v>
      </c>
      <c r="D59" s="389">
        <v>1964.5</v>
      </c>
      <c r="E59" s="389">
        <f t="shared" si="2"/>
        <v>237.11526855763427</v>
      </c>
    </row>
    <row r="60" spans="1:5" ht="31.5" x14ac:dyDescent="0.25">
      <c r="A60" s="137" t="s">
        <v>80</v>
      </c>
      <c r="B60" s="146" t="s">
        <v>81</v>
      </c>
      <c r="C60" s="492">
        <f>SUM(C61+C63)</f>
        <v>236</v>
      </c>
      <c r="D60" s="492">
        <f>SUM(D61+D63)</f>
        <v>357.01400000000001</v>
      </c>
      <c r="E60" s="492">
        <f t="shared" si="2"/>
        <v>151.2771186440678</v>
      </c>
    </row>
    <row r="61" spans="1:5" s="191" customFormat="1" ht="54.75" customHeight="1" x14ac:dyDescent="0.25">
      <c r="A61" s="137" t="s">
        <v>82</v>
      </c>
      <c r="B61" s="146" t="s">
        <v>83</v>
      </c>
      <c r="C61" s="492">
        <f>C62</f>
        <v>235</v>
      </c>
      <c r="D61" s="492">
        <f>D62</f>
        <v>312.32499999999999</v>
      </c>
      <c r="E61" s="492">
        <f t="shared" si="2"/>
        <v>132.90425531914894</v>
      </c>
    </row>
    <row r="62" spans="1:5" s="191" customFormat="1" ht="78.75" x14ac:dyDescent="0.25">
      <c r="A62" s="190" t="s">
        <v>84</v>
      </c>
      <c r="B62" s="139" t="s">
        <v>699</v>
      </c>
      <c r="C62" s="389">
        <v>235</v>
      </c>
      <c r="D62" s="389">
        <v>312.32499999999999</v>
      </c>
      <c r="E62" s="389">
        <f t="shared" si="2"/>
        <v>132.90425531914894</v>
      </c>
    </row>
    <row r="63" spans="1:5" s="191" customFormat="1" ht="31.5" x14ac:dyDescent="0.25">
      <c r="A63" s="137" t="s">
        <v>85</v>
      </c>
      <c r="B63" s="146" t="s">
        <v>86</v>
      </c>
      <c r="C63" s="492">
        <f>SUM(C64)</f>
        <v>1</v>
      </c>
      <c r="D63" s="492">
        <f>SUM(D64)</f>
        <v>44.689</v>
      </c>
      <c r="E63" s="492">
        <f t="shared" si="2"/>
        <v>4468.8999999999996</v>
      </c>
    </row>
    <row r="64" spans="1:5" ht="47.25" x14ac:dyDescent="0.25">
      <c r="A64" s="190" t="s">
        <v>87</v>
      </c>
      <c r="B64" s="139" t="s">
        <v>88</v>
      </c>
      <c r="C64" s="389">
        <v>1</v>
      </c>
      <c r="D64" s="389">
        <v>44.689</v>
      </c>
      <c r="E64" s="389">
        <f t="shared" si="2"/>
        <v>4468.8999999999996</v>
      </c>
    </row>
    <row r="65" spans="1:6" s="191" customFormat="1" ht="15.75" x14ac:dyDescent="0.25">
      <c r="A65" s="137" t="s">
        <v>89</v>
      </c>
      <c r="B65" s="146" t="s">
        <v>90</v>
      </c>
      <c r="C65" s="492">
        <f>C66</f>
        <v>5</v>
      </c>
      <c r="D65" s="492">
        <f>D66</f>
        <v>370.06900000000002</v>
      </c>
      <c r="E65" s="492">
        <f t="shared" si="2"/>
        <v>7401.38</v>
      </c>
    </row>
    <row r="66" spans="1:6" ht="31.5" x14ac:dyDescent="0.25">
      <c r="A66" s="137" t="s">
        <v>1097</v>
      </c>
      <c r="B66" s="146" t="s">
        <v>91</v>
      </c>
      <c r="C66" s="492">
        <f>C67+C69+C71</f>
        <v>5</v>
      </c>
      <c r="D66" s="492">
        <f>D67+D69+D71+D73+D75+D78</f>
        <v>370.06900000000002</v>
      </c>
      <c r="E66" s="492">
        <f t="shared" si="2"/>
        <v>7401.38</v>
      </c>
    </row>
    <row r="67" spans="1:6" ht="18.75" customHeight="1" x14ac:dyDescent="0.25">
      <c r="A67" s="137" t="s">
        <v>1111</v>
      </c>
      <c r="B67" s="227" t="s">
        <v>1110</v>
      </c>
      <c r="C67" s="492">
        <f>C68</f>
        <v>2.5</v>
      </c>
      <c r="D67" s="492">
        <f>D68</f>
        <v>12.7</v>
      </c>
      <c r="E67" s="492">
        <f t="shared" si="2"/>
        <v>508</v>
      </c>
    </row>
    <row r="68" spans="1:6" ht="18.75" customHeight="1" x14ac:dyDescent="0.25">
      <c r="A68" s="190" t="s">
        <v>1099</v>
      </c>
      <c r="B68" s="228" t="s">
        <v>1105</v>
      </c>
      <c r="C68" s="389">
        <v>2.5</v>
      </c>
      <c r="D68" s="389">
        <v>12.7</v>
      </c>
      <c r="E68" s="389">
        <f t="shared" si="2"/>
        <v>508</v>
      </c>
    </row>
    <row r="69" spans="1:6" ht="18.75" customHeight="1" x14ac:dyDescent="0.25">
      <c r="A69" s="137" t="s">
        <v>1113</v>
      </c>
      <c r="B69" s="227" t="s">
        <v>1112</v>
      </c>
      <c r="C69" s="492">
        <f>C70</f>
        <v>0</v>
      </c>
      <c r="D69" s="492">
        <f>D70</f>
        <v>2</v>
      </c>
      <c r="E69" s="492" t="s">
        <v>1708</v>
      </c>
    </row>
    <row r="70" spans="1:6" ht="94.5" x14ac:dyDescent="0.25">
      <c r="A70" s="190" t="s">
        <v>1098</v>
      </c>
      <c r="B70" s="228" t="s">
        <v>1106</v>
      </c>
      <c r="C70" s="389">
        <v>0</v>
      </c>
      <c r="D70" s="389">
        <v>2</v>
      </c>
      <c r="E70" s="389" t="s">
        <v>1708</v>
      </c>
      <c r="F70" s="22"/>
    </row>
    <row r="71" spans="1:6" ht="63" x14ac:dyDescent="0.25">
      <c r="A71" s="137" t="s">
        <v>1109</v>
      </c>
      <c r="B71" s="229" t="s">
        <v>1108</v>
      </c>
      <c r="C71" s="492">
        <f>C72</f>
        <v>2.5</v>
      </c>
      <c r="D71" s="492">
        <f>D72</f>
        <v>25</v>
      </c>
      <c r="E71" s="492">
        <f>D71/C71*100</f>
        <v>1000</v>
      </c>
    </row>
    <row r="72" spans="1:6" ht="78.75" x14ac:dyDescent="0.25">
      <c r="A72" s="190" t="s">
        <v>1102</v>
      </c>
      <c r="B72" s="230" t="s">
        <v>1107</v>
      </c>
      <c r="C72" s="389">
        <v>2.5</v>
      </c>
      <c r="D72" s="389">
        <v>25</v>
      </c>
      <c r="E72" s="389">
        <f>D72/C72*100</f>
        <v>1000</v>
      </c>
    </row>
    <row r="73" spans="1:6" s="191" customFormat="1" ht="63" x14ac:dyDescent="0.25">
      <c r="A73" s="137" t="s">
        <v>1715</v>
      </c>
      <c r="B73" s="177" t="s">
        <v>1716</v>
      </c>
      <c r="C73" s="492">
        <f>C74</f>
        <v>0</v>
      </c>
      <c r="D73" s="492">
        <f>D74</f>
        <v>122.836</v>
      </c>
      <c r="E73" s="389" t="s">
        <v>1708</v>
      </c>
    </row>
    <row r="74" spans="1:6" ht="36.75" customHeight="1" x14ac:dyDescent="0.25">
      <c r="A74" s="190" t="s">
        <v>1717</v>
      </c>
      <c r="B74" s="176" t="s">
        <v>1718</v>
      </c>
      <c r="C74" s="389">
        <v>0</v>
      </c>
      <c r="D74" s="389">
        <v>122.836</v>
      </c>
      <c r="E74" s="389" t="s">
        <v>1708</v>
      </c>
    </row>
    <row r="75" spans="1:6" s="191" customFormat="1" ht="63" x14ac:dyDescent="0.25">
      <c r="A75" s="137" t="s">
        <v>1719</v>
      </c>
      <c r="B75" s="177" t="s">
        <v>1720</v>
      </c>
      <c r="C75" s="492">
        <f>C76+C77</f>
        <v>0</v>
      </c>
      <c r="D75" s="492">
        <f>D76+D77</f>
        <v>-3.2529999999999997</v>
      </c>
      <c r="E75" s="492" t="s">
        <v>1708</v>
      </c>
    </row>
    <row r="76" spans="1:6" s="191" customFormat="1" ht="63" x14ac:dyDescent="0.25">
      <c r="A76" s="190" t="s">
        <v>1721</v>
      </c>
      <c r="B76" s="176" t="s">
        <v>1722</v>
      </c>
      <c r="C76" s="389">
        <v>0</v>
      </c>
      <c r="D76" s="389">
        <v>2.1</v>
      </c>
      <c r="E76" s="389" t="s">
        <v>1708</v>
      </c>
    </row>
    <row r="77" spans="1:6" ht="63" x14ac:dyDescent="0.25">
      <c r="A77" s="190" t="s">
        <v>1723</v>
      </c>
      <c r="B77" s="176" t="s">
        <v>1724</v>
      </c>
      <c r="C77" s="389">
        <v>0</v>
      </c>
      <c r="D77" s="389">
        <v>-5.3529999999999998</v>
      </c>
      <c r="E77" s="389" t="s">
        <v>1708</v>
      </c>
    </row>
    <row r="78" spans="1:6" s="191" customFormat="1" ht="47.25" customHeight="1" x14ac:dyDescent="0.25">
      <c r="A78" s="137" t="s">
        <v>1725</v>
      </c>
      <c r="B78" s="177" t="s">
        <v>1726</v>
      </c>
      <c r="C78" s="492">
        <v>0</v>
      </c>
      <c r="D78" s="492">
        <v>210.786</v>
      </c>
      <c r="E78" s="492" t="s">
        <v>1708</v>
      </c>
    </row>
    <row r="79" spans="1:6" s="191" customFormat="1" ht="15.75" x14ac:dyDescent="0.25">
      <c r="A79" s="3" t="s">
        <v>1100</v>
      </c>
      <c r="B79" s="506" t="s">
        <v>767</v>
      </c>
      <c r="C79" s="492">
        <f>C81</f>
        <v>0</v>
      </c>
      <c r="D79" s="492">
        <f>D80+D81</f>
        <v>1525.6289999999999</v>
      </c>
      <c r="E79" s="492" t="s">
        <v>1708</v>
      </c>
    </row>
    <row r="80" spans="1:6" s="191" customFormat="1" ht="53.45" hidden="1" customHeight="1" x14ac:dyDescent="0.25">
      <c r="A80" s="2" t="s">
        <v>1727</v>
      </c>
      <c r="B80" s="176" t="s">
        <v>1728</v>
      </c>
      <c r="C80" s="389">
        <v>0</v>
      </c>
      <c r="D80" s="389">
        <v>0</v>
      </c>
      <c r="E80" s="389" t="s">
        <v>1708</v>
      </c>
    </row>
    <row r="81" spans="1:5" s="191" customFormat="1" ht="15.75" x14ac:dyDescent="0.25">
      <c r="A81" s="3" t="s">
        <v>1101</v>
      </c>
      <c r="B81" s="177" t="s">
        <v>768</v>
      </c>
      <c r="C81" s="492">
        <f>SUM(C82)</f>
        <v>0</v>
      </c>
      <c r="D81" s="492">
        <f>SUM(D82)</f>
        <v>1525.6289999999999</v>
      </c>
      <c r="E81" s="492" t="s">
        <v>1708</v>
      </c>
    </row>
    <row r="82" spans="1:5" s="191" customFormat="1" ht="15.75" x14ac:dyDescent="0.25">
      <c r="A82" s="2" t="s">
        <v>769</v>
      </c>
      <c r="B82" s="176" t="s">
        <v>770</v>
      </c>
      <c r="C82" s="389">
        <v>0</v>
      </c>
      <c r="D82" s="389">
        <v>1525.6289999999999</v>
      </c>
      <c r="E82" s="389" t="s">
        <v>1708</v>
      </c>
    </row>
    <row r="83" spans="1:5" s="191" customFormat="1" ht="15.75" x14ac:dyDescent="0.25">
      <c r="A83" s="137" t="s">
        <v>92</v>
      </c>
      <c r="B83" s="138" t="s">
        <v>93</v>
      </c>
      <c r="C83" s="492">
        <f>C84+C183</f>
        <v>607205.41187999991</v>
      </c>
      <c r="D83" s="492">
        <f>D84+D183+D186</f>
        <v>592797.03200000001</v>
      </c>
      <c r="E83" s="492">
        <f t="shared" ref="E83:E118" si="3">D83/C83*100</f>
        <v>97.627099561680552</v>
      </c>
    </row>
    <row r="84" spans="1:5" s="191" customFormat="1" ht="31.5" x14ac:dyDescent="0.25">
      <c r="A84" s="137" t="s">
        <v>94</v>
      </c>
      <c r="B84" s="138" t="s">
        <v>95</v>
      </c>
      <c r="C84" s="492">
        <f>C85+C90+C141+C169</f>
        <v>601898.36217999994</v>
      </c>
      <c r="D84" s="492">
        <f>D85+D90+D141+D169</f>
        <v>593323.20600000001</v>
      </c>
      <c r="E84" s="492">
        <f t="shared" si="3"/>
        <v>98.575314917132886</v>
      </c>
    </row>
    <row r="85" spans="1:5" s="191" customFormat="1" ht="15.75" x14ac:dyDescent="0.25">
      <c r="A85" s="137" t="s">
        <v>813</v>
      </c>
      <c r="B85" s="147" t="s">
        <v>96</v>
      </c>
      <c r="C85" s="492">
        <f>C86+C88</f>
        <v>208060.4</v>
      </c>
      <c r="D85" s="492">
        <f>D86+D88</f>
        <v>208060.4</v>
      </c>
      <c r="E85" s="492">
        <f t="shared" si="3"/>
        <v>100</v>
      </c>
    </row>
    <row r="86" spans="1:5" ht="15.75" x14ac:dyDescent="0.25">
      <c r="A86" s="137" t="s">
        <v>1130</v>
      </c>
      <c r="B86" s="147" t="s">
        <v>1129</v>
      </c>
      <c r="C86" s="492">
        <f>C87</f>
        <v>154837</v>
      </c>
      <c r="D86" s="492">
        <f>D87</f>
        <v>154837</v>
      </c>
      <c r="E86" s="492">
        <f t="shared" si="3"/>
        <v>100</v>
      </c>
    </row>
    <row r="87" spans="1:5" s="191" customFormat="1" ht="31.5" x14ac:dyDescent="0.25">
      <c r="A87" s="190" t="s">
        <v>812</v>
      </c>
      <c r="B87" s="144" t="s">
        <v>1138</v>
      </c>
      <c r="C87" s="389">
        <v>154837</v>
      </c>
      <c r="D87" s="389">
        <v>154837</v>
      </c>
      <c r="E87" s="389">
        <f t="shared" si="3"/>
        <v>100</v>
      </c>
    </row>
    <row r="88" spans="1:5" ht="31.5" x14ac:dyDescent="0.25">
      <c r="A88" s="134" t="s">
        <v>1444</v>
      </c>
      <c r="B88" s="138" t="s">
        <v>1445</v>
      </c>
      <c r="C88" s="492">
        <f>C89</f>
        <v>53223.4</v>
      </c>
      <c r="D88" s="492">
        <f>D89</f>
        <v>53223.4</v>
      </c>
      <c r="E88" s="492">
        <f t="shared" si="3"/>
        <v>100</v>
      </c>
    </row>
    <row r="89" spans="1:5" ht="31.5" x14ac:dyDescent="0.25">
      <c r="A89" s="132" t="s">
        <v>1446</v>
      </c>
      <c r="B89" s="144" t="s">
        <v>1447</v>
      </c>
      <c r="C89" s="389">
        <f>50906+2317.4</f>
        <v>53223.4</v>
      </c>
      <c r="D89" s="389">
        <v>53223.4</v>
      </c>
      <c r="E89" s="389">
        <f t="shared" si="3"/>
        <v>100</v>
      </c>
    </row>
    <row r="90" spans="1:5" s="191" customFormat="1" ht="31.5" x14ac:dyDescent="0.25">
      <c r="A90" s="137" t="s">
        <v>811</v>
      </c>
      <c r="B90" s="138" t="s">
        <v>97</v>
      </c>
      <c r="C90" s="492">
        <f>C101+C107+C112+C103+C95+C97+C105+C99+C109+C91+C93</f>
        <v>137594.95217999999</v>
      </c>
      <c r="D90" s="492">
        <f>D101+D107+D112+D103+D95+D97+D105+D99+D109+D91+D93</f>
        <v>131461.622</v>
      </c>
      <c r="E90" s="492">
        <f t="shared" si="3"/>
        <v>95.542474427421979</v>
      </c>
    </row>
    <row r="91" spans="1:5" s="191" customFormat="1" ht="63" x14ac:dyDescent="0.25">
      <c r="A91" s="469" t="s">
        <v>1729</v>
      </c>
      <c r="B91" s="507" t="s">
        <v>1730</v>
      </c>
      <c r="C91" s="508">
        <f>C92</f>
        <v>700</v>
      </c>
      <c r="D91" s="508">
        <f>D92</f>
        <v>700</v>
      </c>
      <c r="E91" s="389">
        <f t="shared" si="3"/>
        <v>100</v>
      </c>
    </row>
    <row r="92" spans="1:5" ht="63" x14ac:dyDescent="0.25">
      <c r="A92" s="190" t="s">
        <v>1731</v>
      </c>
      <c r="B92" s="509" t="s">
        <v>1732</v>
      </c>
      <c r="C92" s="389">
        <v>700</v>
      </c>
      <c r="D92" s="389">
        <v>700</v>
      </c>
      <c r="E92" s="389">
        <f t="shared" si="3"/>
        <v>100</v>
      </c>
    </row>
    <row r="93" spans="1:5" ht="50.25" customHeight="1" x14ac:dyDescent="0.25">
      <c r="A93" s="137" t="s">
        <v>1733</v>
      </c>
      <c r="B93" s="510" t="s">
        <v>1734</v>
      </c>
      <c r="C93" s="492">
        <f>C94</f>
        <v>2581.2449999999999</v>
      </c>
      <c r="D93" s="492">
        <f>D94</f>
        <v>2581.241</v>
      </c>
      <c r="E93" s="492">
        <f t="shared" si="3"/>
        <v>99.999845036019437</v>
      </c>
    </row>
    <row r="94" spans="1:5" s="387" customFormat="1" ht="51.75" customHeight="1" x14ac:dyDescent="0.25">
      <c r="A94" s="190" t="s">
        <v>1735</v>
      </c>
      <c r="B94" s="511" t="s">
        <v>1736</v>
      </c>
      <c r="C94" s="389">
        <f>2581.7-0.455</f>
        <v>2581.2449999999999</v>
      </c>
      <c r="D94" s="389">
        <v>2581.241</v>
      </c>
      <c r="E94" s="389">
        <f t="shared" si="3"/>
        <v>99.999845036019437</v>
      </c>
    </row>
    <row r="95" spans="1:5" s="387" customFormat="1" ht="47.25" x14ac:dyDescent="0.25">
      <c r="A95" s="470" t="s">
        <v>1153</v>
      </c>
      <c r="B95" s="226" t="s">
        <v>1155</v>
      </c>
      <c r="C95" s="512">
        <f>C96</f>
        <v>1491.25</v>
      </c>
      <c r="D95" s="512">
        <f>D96</f>
        <v>1491.2370000000001</v>
      </c>
      <c r="E95" s="492">
        <f t="shared" si="3"/>
        <v>99.999128248114005</v>
      </c>
    </row>
    <row r="96" spans="1:5" ht="63" x14ac:dyDescent="0.25">
      <c r="A96" s="190" t="s">
        <v>1152</v>
      </c>
      <c r="B96" s="98" t="s">
        <v>1737</v>
      </c>
      <c r="C96" s="389">
        <f>1506.3-15.05</f>
        <v>1491.25</v>
      </c>
      <c r="D96" s="389">
        <v>1491.2370000000001</v>
      </c>
      <c r="E96" s="389">
        <f t="shared" si="3"/>
        <v>99.999128248114005</v>
      </c>
    </row>
    <row r="97" spans="1:5" ht="47.25" hidden="1" x14ac:dyDescent="0.25">
      <c r="A97" s="137" t="s">
        <v>1156</v>
      </c>
      <c r="B97" s="195" t="s">
        <v>1159</v>
      </c>
      <c r="C97" s="492">
        <f>C98</f>
        <v>0</v>
      </c>
      <c r="D97" s="492">
        <f>D98</f>
        <v>0</v>
      </c>
      <c r="E97" s="389" t="e">
        <f t="shared" si="3"/>
        <v>#DIV/0!</v>
      </c>
    </row>
    <row r="98" spans="1:5" ht="81" hidden="1" customHeight="1" x14ac:dyDescent="0.25">
      <c r="A98" s="190" t="s">
        <v>1157</v>
      </c>
      <c r="B98" s="98" t="s">
        <v>1158</v>
      </c>
      <c r="C98" s="389">
        <v>0</v>
      </c>
      <c r="D98" s="389">
        <v>0</v>
      </c>
      <c r="E98" s="389" t="e">
        <f t="shared" si="3"/>
        <v>#DIV/0!</v>
      </c>
    </row>
    <row r="99" spans="1:5" s="191" customFormat="1" ht="144.75" hidden="1" customHeight="1" x14ac:dyDescent="0.25">
      <c r="A99" s="469"/>
      <c r="B99" s="513" t="s">
        <v>1282</v>
      </c>
      <c r="C99" s="492">
        <f>C100</f>
        <v>0</v>
      </c>
      <c r="D99" s="492">
        <f>D100</f>
        <v>0</v>
      </c>
      <c r="E99" s="389" t="e">
        <f t="shared" si="3"/>
        <v>#DIV/0!</v>
      </c>
    </row>
    <row r="100" spans="1:5" s="191" customFormat="1" ht="143.44999999999999" hidden="1" customHeight="1" x14ac:dyDescent="0.25">
      <c r="A100" s="499"/>
      <c r="B100" s="514"/>
      <c r="C100" s="389"/>
      <c r="D100" s="389"/>
      <c r="E100" s="389" t="e">
        <f t="shared" si="3"/>
        <v>#DIV/0!</v>
      </c>
    </row>
    <row r="101" spans="1:5" s="191" customFormat="1" ht="47.25" x14ac:dyDescent="0.25">
      <c r="A101" s="469" t="s">
        <v>1434</v>
      </c>
      <c r="B101" s="138" t="s">
        <v>1435</v>
      </c>
      <c r="C101" s="492">
        <f>SUM(C102)</f>
        <v>5079.3999999999996</v>
      </c>
      <c r="D101" s="492">
        <f>SUM(D102)</f>
        <v>5079.3459999999995</v>
      </c>
      <c r="E101" s="492">
        <f t="shared" si="3"/>
        <v>99.998936882308925</v>
      </c>
    </row>
    <row r="102" spans="1:5" ht="63" x14ac:dyDescent="0.25">
      <c r="A102" s="499" t="s">
        <v>1436</v>
      </c>
      <c r="B102" s="144" t="s">
        <v>1420</v>
      </c>
      <c r="C102" s="389">
        <v>5079.3999999999996</v>
      </c>
      <c r="D102" s="389">
        <v>5079.3459999999995</v>
      </c>
      <c r="E102" s="389">
        <f t="shared" si="3"/>
        <v>99.998936882308925</v>
      </c>
    </row>
    <row r="103" spans="1:5" ht="32.25" customHeight="1" x14ac:dyDescent="0.25">
      <c r="A103" s="469" t="s">
        <v>1120</v>
      </c>
      <c r="B103" s="138" t="s">
        <v>1738</v>
      </c>
      <c r="C103" s="492">
        <f>C104</f>
        <v>591.5</v>
      </c>
      <c r="D103" s="492">
        <f>D104</f>
        <v>0</v>
      </c>
      <c r="E103" s="492">
        <f t="shared" si="3"/>
        <v>0</v>
      </c>
    </row>
    <row r="104" spans="1:5" ht="34.5" customHeight="1" x14ac:dyDescent="0.25">
      <c r="A104" s="499" t="s">
        <v>824</v>
      </c>
      <c r="B104" s="515" t="s">
        <v>825</v>
      </c>
      <c r="C104" s="389">
        <f>922.6-354.1+31.1-8.1</f>
        <v>591.5</v>
      </c>
      <c r="D104" s="389">
        <v>0</v>
      </c>
      <c r="E104" s="389">
        <f t="shared" si="3"/>
        <v>0</v>
      </c>
    </row>
    <row r="105" spans="1:5" ht="27" hidden="1" customHeight="1" x14ac:dyDescent="0.25">
      <c r="A105" s="247" t="s">
        <v>1149</v>
      </c>
      <c r="B105" s="516" t="s">
        <v>1150</v>
      </c>
      <c r="C105" s="492">
        <f>C106</f>
        <v>0</v>
      </c>
      <c r="D105" s="492">
        <f>D106</f>
        <v>0</v>
      </c>
      <c r="E105" s="389" t="e">
        <f t="shared" si="3"/>
        <v>#DIV/0!</v>
      </c>
    </row>
    <row r="106" spans="1:5" ht="29.25" hidden="1" customHeight="1" x14ac:dyDescent="0.25">
      <c r="A106" s="248" t="s">
        <v>1147</v>
      </c>
      <c r="B106" s="517" t="s">
        <v>1148</v>
      </c>
      <c r="C106" s="389">
        <v>0</v>
      </c>
      <c r="D106" s="389">
        <v>0</v>
      </c>
      <c r="E106" s="389" t="e">
        <f t="shared" si="3"/>
        <v>#DIV/0!</v>
      </c>
    </row>
    <row r="107" spans="1:5" ht="31.5" x14ac:dyDescent="0.25">
      <c r="A107" s="469" t="s">
        <v>1739</v>
      </c>
      <c r="B107" s="138" t="s">
        <v>1740</v>
      </c>
      <c r="C107" s="492">
        <f>SUM(C108)</f>
        <v>21435.004000000001</v>
      </c>
      <c r="D107" s="492">
        <f>SUM(D108)</f>
        <v>21435.004000000001</v>
      </c>
      <c r="E107" s="492">
        <f t="shared" si="3"/>
        <v>100</v>
      </c>
    </row>
    <row r="108" spans="1:5" ht="31.5" x14ac:dyDescent="0.25">
      <c r="A108" s="499" t="s">
        <v>1741</v>
      </c>
      <c r="B108" s="221" t="s">
        <v>1742</v>
      </c>
      <c r="C108" s="389">
        <v>21435.004000000001</v>
      </c>
      <c r="D108" s="389">
        <v>21435.004000000001</v>
      </c>
      <c r="E108" s="389">
        <f t="shared" si="3"/>
        <v>100</v>
      </c>
    </row>
    <row r="109" spans="1:5" s="191" customFormat="1" ht="95.25" hidden="1" customHeight="1" x14ac:dyDescent="0.25">
      <c r="A109" s="469" t="s">
        <v>1743</v>
      </c>
      <c r="B109" s="147" t="s">
        <v>1744</v>
      </c>
      <c r="C109" s="492">
        <f>C110</f>
        <v>0</v>
      </c>
      <c r="D109" s="492">
        <f>D110</f>
        <v>0</v>
      </c>
      <c r="E109" s="389" t="e">
        <f t="shared" si="3"/>
        <v>#DIV/0!</v>
      </c>
    </row>
    <row r="110" spans="1:5" ht="165.2" hidden="1" customHeight="1" x14ac:dyDescent="0.25">
      <c r="A110" s="499" t="s">
        <v>1745</v>
      </c>
      <c r="B110" s="221" t="s">
        <v>1746</v>
      </c>
      <c r="C110" s="389"/>
      <c r="D110" s="389"/>
      <c r="E110" s="389" t="e">
        <f t="shared" si="3"/>
        <v>#DIV/0!</v>
      </c>
    </row>
    <row r="111" spans="1:5" s="191" customFormat="1" ht="15.75" x14ac:dyDescent="0.25">
      <c r="A111" s="469" t="s">
        <v>1122</v>
      </c>
      <c r="B111" s="138" t="s">
        <v>1121</v>
      </c>
      <c r="C111" s="120">
        <f>C112</f>
        <v>105716.55317999999</v>
      </c>
      <c r="D111" s="120">
        <f>D112</f>
        <v>100174.79399999999</v>
      </c>
      <c r="E111" s="492">
        <f t="shared" si="3"/>
        <v>94.75790780790571</v>
      </c>
    </row>
    <row r="112" spans="1:5" s="191" customFormat="1" ht="15.75" x14ac:dyDescent="0.25">
      <c r="A112" s="190" t="s">
        <v>810</v>
      </c>
      <c r="B112" s="144" t="s">
        <v>98</v>
      </c>
      <c r="C112" s="27">
        <f>C113+C114+C115+C116+C119+C120+C121+C122+C123+C125+C126+C127+C128+C129+C130+C131+C132+C133+C134+C135+C136+C137+C138+C139+C140</f>
        <v>105716.55317999999</v>
      </c>
      <c r="D112" s="27">
        <f>D113+D114+D115+D116+D119+D120+D121+D122+D123+D125+D126+D127+D128+D129+D130+D131+D132+D133+D134+D135+D136+D137+D138+D139+D140</f>
        <v>100174.79399999999</v>
      </c>
      <c r="E112" s="389">
        <f t="shared" si="3"/>
        <v>94.75790780790571</v>
      </c>
    </row>
    <row r="113" spans="1:6" ht="78.75" x14ac:dyDescent="0.25">
      <c r="A113" s="540"/>
      <c r="B113" s="139" t="s">
        <v>1747</v>
      </c>
      <c r="C113" s="389">
        <v>65.2</v>
      </c>
      <c r="D113" s="389">
        <v>65.2</v>
      </c>
      <c r="E113" s="389">
        <f t="shared" si="3"/>
        <v>100</v>
      </c>
    </row>
    <row r="114" spans="1:6" ht="126.75" customHeight="1" x14ac:dyDescent="0.25">
      <c r="A114" s="541"/>
      <c r="B114" s="148" t="s">
        <v>1748</v>
      </c>
      <c r="C114" s="518">
        <v>1666.6</v>
      </c>
      <c r="D114" s="518">
        <v>1666.6</v>
      </c>
      <c r="E114" s="389">
        <f t="shared" si="3"/>
        <v>100</v>
      </c>
    </row>
    <row r="115" spans="1:6" ht="141.75" hidden="1" x14ac:dyDescent="0.25">
      <c r="A115" s="541"/>
      <c r="B115" s="29" t="s">
        <v>1749</v>
      </c>
      <c r="C115" s="518">
        <f>200-200</f>
        <v>0</v>
      </c>
      <c r="D115" s="518">
        <f>200-200</f>
        <v>0</v>
      </c>
      <c r="E115" s="389" t="e">
        <f t="shared" si="3"/>
        <v>#DIV/0!</v>
      </c>
    </row>
    <row r="116" spans="1:6" ht="80.25" customHeight="1" x14ac:dyDescent="0.25">
      <c r="A116" s="541"/>
      <c r="B116" s="371" t="s">
        <v>1750</v>
      </c>
      <c r="C116" s="251">
        <f>2161.1+404.7+63.47+8.35+22.38</f>
        <v>2659.9999999999995</v>
      </c>
      <c r="D116" s="251">
        <v>2451.6</v>
      </c>
      <c r="E116" s="389">
        <f t="shared" si="3"/>
        <v>92.165413533834595</v>
      </c>
    </row>
    <row r="117" spans="1:6" ht="83.25" hidden="1" customHeight="1" x14ac:dyDescent="0.25">
      <c r="A117" s="541"/>
      <c r="B117" s="148" t="s">
        <v>1419</v>
      </c>
      <c r="C117" s="10"/>
      <c r="D117" s="10"/>
      <c r="E117" s="389" t="e">
        <f t="shared" si="3"/>
        <v>#DIV/0!</v>
      </c>
    </row>
    <row r="118" spans="1:6" ht="112.7" hidden="1" customHeight="1" x14ac:dyDescent="0.25">
      <c r="A118" s="541"/>
      <c r="B118" s="372" t="s">
        <v>1751</v>
      </c>
      <c r="C118" s="519">
        <v>0</v>
      </c>
      <c r="D118" s="519">
        <v>0</v>
      </c>
      <c r="E118" s="389" t="e">
        <f t="shared" si="3"/>
        <v>#DIV/0!</v>
      </c>
    </row>
    <row r="119" spans="1:6" ht="115.5" hidden="1" customHeight="1" x14ac:dyDescent="0.25">
      <c r="A119" s="541"/>
      <c r="B119" s="520" t="s">
        <v>1752</v>
      </c>
      <c r="C119" s="389">
        <f>40-40</f>
        <v>0</v>
      </c>
      <c r="D119" s="389">
        <v>0</v>
      </c>
      <c r="E119" s="389" t="s">
        <v>1708</v>
      </c>
      <c r="F119" s="22"/>
    </row>
    <row r="120" spans="1:6" ht="78.75" x14ac:dyDescent="0.25">
      <c r="A120" s="541"/>
      <c r="B120" s="139" t="s">
        <v>1753</v>
      </c>
      <c r="C120" s="389">
        <f>1731.8-730</f>
        <v>1001.8</v>
      </c>
      <c r="D120" s="389">
        <v>1001.8</v>
      </c>
      <c r="E120" s="389">
        <f>D120/C120*100</f>
        <v>100</v>
      </c>
    </row>
    <row r="121" spans="1:6" ht="144" hidden="1" customHeight="1" x14ac:dyDescent="0.25">
      <c r="A121" s="541"/>
      <c r="B121" s="139" t="s">
        <v>1754</v>
      </c>
      <c r="C121" s="389">
        <f>255-91.9-163.1</f>
        <v>0</v>
      </c>
      <c r="D121" s="389">
        <f>255-91.9-163.1</f>
        <v>0</v>
      </c>
      <c r="E121" s="389" t="e">
        <f>D121/C121*100</f>
        <v>#DIV/0!</v>
      </c>
    </row>
    <row r="122" spans="1:6" ht="65.25" hidden="1" customHeight="1" x14ac:dyDescent="0.25">
      <c r="A122" s="541"/>
      <c r="B122" s="46" t="s">
        <v>1755</v>
      </c>
      <c r="C122" s="389">
        <f>1630-1630</f>
        <v>0</v>
      </c>
      <c r="D122" s="389">
        <v>0</v>
      </c>
      <c r="E122" s="389" t="s">
        <v>1708</v>
      </c>
    </row>
    <row r="123" spans="1:6" ht="81.75" customHeight="1" x14ac:dyDescent="0.25">
      <c r="A123" s="541"/>
      <c r="B123" s="139" t="s">
        <v>1756</v>
      </c>
      <c r="C123" s="389">
        <v>516.6</v>
      </c>
      <c r="D123" s="389">
        <v>480.6</v>
      </c>
      <c r="E123" s="389">
        <f t="shared" ref="E123:E185" si="4">D123/C123*100</f>
        <v>93.031358885017426</v>
      </c>
    </row>
    <row r="124" spans="1:6" ht="160.5" hidden="1" customHeight="1" x14ac:dyDescent="0.25">
      <c r="A124" s="541"/>
      <c r="B124" s="29" t="s">
        <v>1757</v>
      </c>
      <c r="C124" s="10">
        <v>0</v>
      </c>
      <c r="D124" s="10">
        <v>0</v>
      </c>
      <c r="E124" s="389" t="e">
        <f t="shared" si="4"/>
        <v>#DIV/0!</v>
      </c>
    </row>
    <row r="125" spans="1:6" ht="128.25" customHeight="1" x14ac:dyDescent="0.25">
      <c r="A125" s="541"/>
      <c r="B125" s="373" t="s">
        <v>1758</v>
      </c>
      <c r="C125" s="27">
        <v>166.7</v>
      </c>
      <c r="D125" s="27">
        <v>91.7</v>
      </c>
      <c r="E125" s="389">
        <f t="shared" si="4"/>
        <v>55.00899820035994</v>
      </c>
    </row>
    <row r="126" spans="1:6" ht="79.5" customHeight="1" x14ac:dyDescent="0.25">
      <c r="A126" s="541"/>
      <c r="B126" s="374" t="s">
        <v>1759</v>
      </c>
      <c r="C126" s="27">
        <v>74.900000000000006</v>
      </c>
      <c r="D126" s="27">
        <v>54.9</v>
      </c>
      <c r="E126" s="389">
        <f t="shared" si="4"/>
        <v>73.297730307076094</v>
      </c>
    </row>
    <row r="127" spans="1:6" ht="118.5" customHeight="1" x14ac:dyDescent="0.25">
      <c r="A127" s="541"/>
      <c r="B127" s="46" t="s">
        <v>1760</v>
      </c>
      <c r="C127" s="27">
        <v>8601.9</v>
      </c>
      <c r="D127" s="27">
        <v>5242.7700000000004</v>
      </c>
      <c r="E127" s="389">
        <f t="shared" si="4"/>
        <v>60.948976388937339</v>
      </c>
    </row>
    <row r="128" spans="1:6" ht="141" customHeight="1" x14ac:dyDescent="0.25">
      <c r="A128" s="541"/>
      <c r="B128" s="45" t="s">
        <v>1761</v>
      </c>
      <c r="C128" s="27">
        <f>238.4+8.9</f>
        <v>247.3</v>
      </c>
      <c r="D128" s="27">
        <v>247.3</v>
      </c>
      <c r="E128" s="389">
        <f t="shared" si="4"/>
        <v>100</v>
      </c>
    </row>
    <row r="129" spans="1:5" s="191" customFormat="1" ht="135" customHeight="1" x14ac:dyDescent="0.25">
      <c r="A129" s="541"/>
      <c r="B129" s="521" t="s">
        <v>1762</v>
      </c>
      <c r="C129" s="27">
        <f>16158.4-0.19653</f>
        <v>16158.20347</v>
      </c>
      <c r="D129" s="27">
        <v>16158.203</v>
      </c>
      <c r="E129" s="389">
        <f t="shared" si="4"/>
        <v>99.999997091260781</v>
      </c>
    </row>
    <row r="130" spans="1:5" s="191" customFormat="1" ht="47.25" x14ac:dyDescent="0.25">
      <c r="A130" s="541"/>
      <c r="B130" s="521" t="s">
        <v>1763</v>
      </c>
      <c r="C130" s="27">
        <f>3168.8-439.543</f>
        <v>2729.2570000000001</v>
      </c>
      <c r="D130" s="27">
        <v>2729.2559999999999</v>
      </c>
      <c r="E130" s="389">
        <f t="shared" si="4"/>
        <v>99.999963359991369</v>
      </c>
    </row>
    <row r="131" spans="1:5" s="191" customFormat="1" ht="31.5" x14ac:dyDescent="0.25">
      <c r="A131" s="541"/>
      <c r="B131" s="521" t="s">
        <v>1764</v>
      </c>
      <c r="C131" s="27">
        <v>180.6</v>
      </c>
      <c r="D131" s="27">
        <v>180.6</v>
      </c>
      <c r="E131" s="389">
        <f t="shared" si="4"/>
        <v>100</v>
      </c>
    </row>
    <row r="132" spans="1:5" s="191" customFormat="1" ht="31.5" x14ac:dyDescent="0.25">
      <c r="A132" s="541"/>
      <c r="B132" s="521" t="s">
        <v>1765</v>
      </c>
      <c r="C132" s="27">
        <f>513.8-228.8</f>
        <v>284.99999999999994</v>
      </c>
      <c r="D132" s="27">
        <v>284.95999999999998</v>
      </c>
      <c r="E132" s="389">
        <f t="shared" si="4"/>
        <v>99.985964912280707</v>
      </c>
    </row>
    <row r="133" spans="1:5" s="191" customFormat="1" ht="31.5" x14ac:dyDescent="0.25">
      <c r="A133" s="541"/>
      <c r="B133" s="521" t="s">
        <v>1766</v>
      </c>
      <c r="C133" s="27">
        <v>2500</v>
      </c>
      <c r="D133" s="27">
        <v>2246.0909999999999</v>
      </c>
      <c r="E133" s="389">
        <f t="shared" si="4"/>
        <v>89.843639999999994</v>
      </c>
    </row>
    <row r="134" spans="1:5" s="191" customFormat="1" ht="38.450000000000003" customHeight="1" x14ac:dyDescent="0.25">
      <c r="A134" s="541"/>
      <c r="B134" s="521" t="s">
        <v>1767</v>
      </c>
      <c r="C134" s="27">
        <f>501.7+959</f>
        <v>1460.7</v>
      </c>
      <c r="D134" s="27">
        <v>1460.6959999999999</v>
      </c>
      <c r="E134" s="389">
        <f t="shared" si="4"/>
        <v>99.999726158691033</v>
      </c>
    </row>
    <row r="135" spans="1:5" s="191" customFormat="1" ht="50.45" customHeight="1" x14ac:dyDescent="0.25">
      <c r="A135" s="541"/>
      <c r="B135" s="521" t="s">
        <v>1768</v>
      </c>
      <c r="C135" s="27">
        <v>448</v>
      </c>
      <c r="D135" s="27">
        <v>448</v>
      </c>
      <c r="E135" s="389">
        <f t="shared" si="4"/>
        <v>100</v>
      </c>
    </row>
    <row r="136" spans="1:5" s="191" customFormat="1" ht="54" customHeight="1" x14ac:dyDescent="0.25">
      <c r="A136" s="541"/>
      <c r="B136" s="521" t="s">
        <v>1769</v>
      </c>
      <c r="C136" s="27">
        <v>4816.3</v>
      </c>
      <c r="D136" s="27">
        <v>4816.3</v>
      </c>
      <c r="E136" s="389">
        <f t="shared" si="4"/>
        <v>100</v>
      </c>
    </row>
    <row r="137" spans="1:5" ht="31.5" x14ac:dyDescent="0.25">
      <c r="A137" s="541"/>
      <c r="B137" s="521" t="s">
        <v>1770</v>
      </c>
      <c r="C137" s="27">
        <v>4173.5</v>
      </c>
      <c r="D137" s="27">
        <v>4459.5</v>
      </c>
      <c r="E137" s="389">
        <f t="shared" si="4"/>
        <v>106.85276147118725</v>
      </c>
    </row>
    <row r="138" spans="1:5" ht="78.75" x14ac:dyDescent="0.25">
      <c r="A138" s="541"/>
      <c r="B138" s="521" t="s">
        <v>1771</v>
      </c>
      <c r="C138" s="27">
        <v>1492.7</v>
      </c>
      <c r="D138" s="27">
        <v>0</v>
      </c>
      <c r="E138" s="389">
        <f t="shared" si="4"/>
        <v>0</v>
      </c>
    </row>
    <row r="139" spans="1:5" ht="31.5" x14ac:dyDescent="0.25">
      <c r="A139" s="541"/>
      <c r="B139" s="521" t="s">
        <v>1772</v>
      </c>
      <c r="C139" s="27">
        <v>286</v>
      </c>
      <c r="D139" s="27">
        <v>0</v>
      </c>
      <c r="E139" s="389">
        <f t="shared" si="4"/>
        <v>0</v>
      </c>
    </row>
    <row r="140" spans="1:5" s="191" customFormat="1" ht="51.75" customHeight="1" x14ac:dyDescent="0.25">
      <c r="A140" s="542"/>
      <c r="B140" s="521" t="s">
        <v>1773</v>
      </c>
      <c r="C140" s="27">
        <v>56185.292710000002</v>
      </c>
      <c r="D140" s="27">
        <v>56088.718000000001</v>
      </c>
      <c r="E140" s="389">
        <f t="shared" si="4"/>
        <v>99.828113897175058</v>
      </c>
    </row>
    <row r="141" spans="1:5" s="191" customFormat="1" ht="15.75" x14ac:dyDescent="0.25">
      <c r="A141" s="137" t="s">
        <v>809</v>
      </c>
      <c r="B141" s="146" t="s">
        <v>100</v>
      </c>
      <c r="C141" s="492">
        <f>C167+C142+C163+C165</f>
        <v>234168.01</v>
      </c>
      <c r="D141" s="492">
        <f>D167+D142+D163+D165</f>
        <v>231726.18399999995</v>
      </c>
      <c r="E141" s="492">
        <f t="shared" si="4"/>
        <v>98.957233312953349</v>
      </c>
    </row>
    <row r="142" spans="1:5" ht="31.5" x14ac:dyDescent="0.25">
      <c r="A142" s="137" t="s">
        <v>808</v>
      </c>
      <c r="B142" s="146" t="s">
        <v>101</v>
      </c>
      <c r="C142" s="492">
        <f>C143</f>
        <v>233562.81000000003</v>
      </c>
      <c r="D142" s="492">
        <f>D143</f>
        <v>231125.58999999997</v>
      </c>
      <c r="E142" s="492">
        <f t="shared" si="4"/>
        <v>98.956503391956943</v>
      </c>
    </row>
    <row r="143" spans="1:5" s="191" customFormat="1" ht="31.5" x14ac:dyDescent="0.25">
      <c r="A143" s="190" t="s">
        <v>807</v>
      </c>
      <c r="B143" s="139" t="s">
        <v>102</v>
      </c>
      <c r="C143" s="389">
        <f>SUM(C144+C145+C146+C147+C148+C149+C150+C153+C154+C155+C156+C158+C157+C159)</f>
        <v>233562.81000000003</v>
      </c>
      <c r="D143" s="389">
        <f>SUM(D144+D145+D146+D147+D148+D149+D150+D153+D154+D155+D156+D158+D157+D159)</f>
        <v>231125.58999999997</v>
      </c>
      <c r="E143" s="389">
        <f t="shared" si="4"/>
        <v>98.956503391956943</v>
      </c>
    </row>
    <row r="144" spans="1:5" ht="94.5" x14ac:dyDescent="0.25">
      <c r="A144" s="540"/>
      <c r="B144" s="371" t="s">
        <v>1774</v>
      </c>
      <c r="C144" s="10">
        <f>131567.2-5318.53+5259.622-1931.414-684.865+830.509-2388.475-490.61-2347.791+107.38+288.987+239.685-272.801+129.253-369.305</f>
        <v>124618.845</v>
      </c>
      <c r="D144" s="10">
        <v>124618.675</v>
      </c>
      <c r="E144" s="389">
        <f t="shared" si="4"/>
        <v>99.999863584034983</v>
      </c>
    </row>
    <row r="145" spans="1:5" ht="78.75" x14ac:dyDescent="0.25">
      <c r="A145" s="541"/>
      <c r="B145" s="139" t="s">
        <v>1775</v>
      </c>
      <c r="C145" s="10">
        <f>90957.3-1137.93-2963.722-864.682-1143.1-413.579-423.433-852.927-1868-1839.262</f>
        <v>79450.665000000008</v>
      </c>
      <c r="D145" s="10">
        <v>79449.365000000005</v>
      </c>
      <c r="E145" s="389">
        <f t="shared" si="4"/>
        <v>99.998363764482022</v>
      </c>
    </row>
    <row r="146" spans="1:5" ht="100.9" customHeight="1" x14ac:dyDescent="0.25">
      <c r="A146" s="541"/>
      <c r="B146" s="139" t="s">
        <v>1776</v>
      </c>
      <c r="C146" s="10">
        <f>4777.5+69</f>
        <v>4846.5</v>
      </c>
      <c r="D146" s="10">
        <v>4197.8760000000002</v>
      </c>
      <c r="E146" s="389">
        <f t="shared" si="4"/>
        <v>86.616651191581568</v>
      </c>
    </row>
    <row r="147" spans="1:5" ht="110.25" x14ac:dyDescent="0.25">
      <c r="A147" s="541"/>
      <c r="B147" s="139" t="s">
        <v>1777</v>
      </c>
      <c r="C147" s="10">
        <f>2185-158.737</f>
        <v>2026.2629999999999</v>
      </c>
      <c r="D147" s="10">
        <v>1450.097</v>
      </c>
      <c r="E147" s="389">
        <f t="shared" si="4"/>
        <v>71.56509298151326</v>
      </c>
    </row>
    <row r="148" spans="1:5" ht="93.6" customHeight="1" x14ac:dyDescent="0.25">
      <c r="A148" s="541"/>
      <c r="B148" s="139" t="s">
        <v>1813</v>
      </c>
      <c r="C148" s="10">
        <v>1439.4</v>
      </c>
      <c r="D148" s="10">
        <v>1362.5219999999999</v>
      </c>
      <c r="E148" s="389">
        <f t="shared" si="4"/>
        <v>94.659024593580639</v>
      </c>
    </row>
    <row r="149" spans="1:5" ht="125.25" customHeight="1" x14ac:dyDescent="0.25">
      <c r="A149" s="541"/>
      <c r="B149" s="139" t="s">
        <v>1778</v>
      </c>
      <c r="C149" s="10">
        <v>264.2</v>
      </c>
      <c r="D149" s="10">
        <v>264.2</v>
      </c>
      <c r="E149" s="389">
        <f t="shared" si="4"/>
        <v>100</v>
      </c>
    </row>
    <row r="150" spans="1:5" ht="49.5" customHeight="1" x14ac:dyDescent="0.25">
      <c r="A150" s="541"/>
      <c r="B150" s="139" t="s">
        <v>1779</v>
      </c>
      <c r="C150" s="10">
        <f>SUM(C151:C152)</f>
        <v>3619.2</v>
      </c>
      <c r="D150" s="10">
        <f>SUM(D151:D152)</f>
        <v>3092.0569999999998</v>
      </c>
      <c r="E150" s="389">
        <f t="shared" si="4"/>
        <v>85.434819849690541</v>
      </c>
    </row>
    <row r="151" spans="1:5" ht="81" customHeight="1" x14ac:dyDescent="0.25">
      <c r="A151" s="541"/>
      <c r="B151" s="375" t="s">
        <v>1534</v>
      </c>
      <c r="C151" s="519">
        <v>2829.1</v>
      </c>
      <c r="D151" s="519">
        <v>2515.232</v>
      </c>
      <c r="E151" s="389">
        <f t="shared" si="4"/>
        <v>88.905729737372312</v>
      </c>
    </row>
    <row r="152" spans="1:5" ht="125.25" customHeight="1" x14ac:dyDescent="0.25">
      <c r="A152" s="541"/>
      <c r="B152" s="375" t="s">
        <v>1535</v>
      </c>
      <c r="C152" s="519">
        <v>790.1</v>
      </c>
      <c r="D152" s="519">
        <v>576.82500000000005</v>
      </c>
      <c r="E152" s="389">
        <f t="shared" si="4"/>
        <v>73.006581445386658</v>
      </c>
    </row>
    <row r="153" spans="1:5" ht="143.25" customHeight="1" x14ac:dyDescent="0.25">
      <c r="A153" s="541"/>
      <c r="B153" s="139" t="s">
        <v>1780</v>
      </c>
      <c r="C153" s="10">
        <v>341.4</v>
      </c>
      <c r="D153" s="10">
        <v>283.8</v>
      </c>
      <c r="E153" s="389">
        <f t="shared" si="4"/>
        <v>83.128295254833048</v>
      </c>
    </row>
    <row r="154" spans="1:5" ht="110.25" x14ac:dyDescent="0.25">
      <c r="A154" s="541"/>
      <c r="B154" s="139" t="s">
        <v>1781</v>
      </c>
      <c r="C154" s="10">
        <v>900</v>
      </c>
      <c r="D154" s="10">
        <v>807.88</v>
      </c>
      <c r="E154" s="389">
        <f t="shared" si="4"/>
        <v>89.76444444444445</v>
      </c>
    </row>
    <row r="155" spans="1:5" ht="47.25" x14ac:dyDescent="0.25">
      <c r="A155" s="541"/>
      <c r="B155" s="139" t="s">
        <v>1782</v>
      </c>
      <c r="C155" s="10">
        <v>1334.3</v>
      </c>
      <c r="D155" s="10">
        <v>1334.3</v>
      </c>
      <c r="E155" s="389">
        <f t="shared" si="4"/>
        <v>100</v>
      </c>
    </row>
    <row r="156" spans="1:5" ht="141.75" x14ac:dyDescent="0.25">
      <c r="A156" s="541"/>
      <c r="B156" s="29" t="s">
        <v>1783</v>
      </c>
      <c r="C156" s="10">
        <f>22.3-22.3</f>
        <v>0</v>
      </c>
      <c r="D156" s="10">
        <f>22.3-22.3</f>
        <v>0</v>
      </c>
      <c r="E156" s="389" t="e">
        <f t="shared" si="4"/>
        <v>#DIV/0!</v>
      </c>
    </row>
    <row r="157" spans="1:5" ht="141.75" hidden="1" x14ac:dyDescent="0.25">
      <c r="A157" s="541"/>
      <c r="B157" s="46" t="s">
        <v>1784</v>
      </c>
      <c r="C157" s="10">
        <f>1975.4-1975.4</f>
        <v>0</v>
      </c>
      <c r="D157" s="10">
        <v>0</v>
      </c>
      <c r="E157" s="389" t="e">
        <f t="shared" si="4"/>
        <v>#DIV/0!</v>
      </c>
    </row>
    <row r="158" spans="1:5" ht="63" x14ac:dyDescent="0.25">
      <c r="A158" s="541"/>
      <c r="B158" s="139" t="s">
        <v>1785</v>
      </c>
      <c r="C158" s="10">
        <v>1857.2</v>
      </c>
      <c r="D158" s="10">
        <v>1857.1969999999999</v>
      </c>
      <c r="E158" s="389">
        <f t="shared" si="4"/>
        <v>99.99983846650872</v>
      </c>
    </row>
    <row r="159" spans="1:5" ht="78.75" x14ac:dyDescent="0.25">
      <c r="A159" s="541"/>
      <c r="B159" s="149" t="s">
        <v>1786</v>
      </c>
      <c r="C159" s="522">
        <f>SUM(C160:C162)</f>
        <v>12864.837</v>
      </c>
      <c r="D159" s="522">
        <f>SUM(D160:D162)</f>
        <v>12407.620999999999</v>
      </c>
      <c r="E159" s="389">
        <f t="shared" si="4"/>
        <v>96.446002386194237</v>
      </c>
    </row>
    <row r="160" spans="1:5" ht="47.25" x14ac:dyDescent="0.25">
      <c r="A160" s="541"/>
      <c r="B160" s="279" t="s">
        <v>1438</v>
      </c>
      <c r="C160" s="523">
        <f>9911+89.737</f>
        <v>10000.736999999999</v>
      </c>
      <c r="D160" s="523">
        <v>9572.7369999999992</v>
      </c>
      <c r="E160" s="389">
        <f t="shared" si="4"/>
        <v>95.720315412754076</v>
      </c>
    </row>
    <row r="161" spans="1:5" ht="63" x14ac:dyDescent="0.25">
      <c r="A161" s="541"/>
      <c r="B161" s="279" t="s">
        <v>1439</v>
      </c>
      <c r="C161" s="523">
        <v>2100.6</v>
      </c>
      <c r="D161" s="523">
        <v>2100.6</v>
      </c>
      <c r="E161" s="389">
        <f t="shared" si="4"/>
        <v>100</v>
      </c>
    </row>
    <row r="162" spans="1:5" ht="47.25" x14ac:dyDescent="0.25">
      <c r="A162" s="542"/>
      <c r="B162" s="279" t="s">
        <v>1440</v>
      </c>
      <c r="C162" s="523">
        <f>813.5-30-20</f>
        <v>763.5</v>
      </c>
      <c r="D162" s="523">
        <v>734.28399999999999</v>
      </c>
      <c r="E162" s="389">
        <f t="shared" si="4"/>
        <v>96.173411918795026</v>
      </c>
    </row>
    <row r="163" spans="1:5" ht="63" hidden="1" x14ac:dyDescent="0.25">
      <c r="A163" s="137" t="s">
        <v>1161</v>
      </c>
      <c r="B163" s="58" t="s">
        <v>1163</v>
      </c>
      <c r="C163" s="59">
        <f>C164</f>
        <v>0</v>
      </c>
      <c r="D163" s="59">
        <f>D164</f>
        <v>0</v>
      </c>
      <c r="E163" s="389" t="e">
        <f t="shared" si="4"/>
        <v>#DIV/0!</v>
      </c>
    </row>
    <row r="164" spans="1:5" ht="63" hidden="1" x14ac:dyDescent="0.25">
      <c r="A164" s="190" t="s">
        <v>1162</v>
      </c>
      <c r="B164" s="45" t="s">
        <v>1163</v>
      </c>
      <c r="C164" s="10">
        <v>0</v>
      </c>
      <c r="D164" s="10">
        <v>0</v>
      </c>
      <c r="E164" s="389" t="e">
        <f t="shared" si="4"/>
        <v>#DIV/0!</v>
      </c>
    </row>
    <row r="165" spans="1:5" ht="31.5" x14ac:dyDescent="0.25">
      <c r="A165" s="137" t="s">
        <v>1787</v>
      </c>
      <c r="B165" s="58" t="s">
        <v>1788</v>
      </c>
      <c r="C165" s="59">
        <f>C166</f>
        <v>105.9</v>
      </c>
      <c r="D165" s="59">
        <f>D166</f>
        <v>101.294</v>
      </c>
      <c r="E165" s="492">
        <f t="shared" si="4"/>
        <v>95.650613786591123</v>
      </c>
    </row>
    <row r="166" spans="1:5" ht="31.5" x14ac:dyDescent="0.25">
      <c r="A166" s="190" t="s">
        <v>1789</v>
      </c>
      <c r="B166" s="45" t="s">
        <v>1790</v>
      </c>
      <c r="C166" s="10">
        <v>105.9</v>
      </c>
      <c r="D166" s="10">
        <v>101.294</v>
      </c>
      <c r="E166" s="389">
        <f t="shared" si="4"/>
        <v>95.650613786591123</v>
      </c>
    </row>
    <row r="167" spans="1:5" ht="31.5" x14ac:dyDescent="0.25">
      <c r="A167" s="137" t="s">
        <v>806</v>
      </c>
      <c r="B167" s="146" t="s">
        <v>103</v>
      </c>
      <c r="C167" s="492">
        <f>C168</f>
        <v>499.29999999999995</v>
      </c>
      <c r="D167" s="492">
        <f>D168</f>
        <v>499.3</v>
      </c>
      <c r="E167" s="492">
        <f t="shared" si="4"/>
        <v>100.00000000000003</v>
      </c>
    </row>
    <row r="168" spans="1:5" ht="31.5" x14ac:dyDescent="0.25">
      <c r="A168" s="190" t="s">
        <v>805</v>
      </c>
      <c r="B168" s="139" t="s">
        <v>104</v>
      </c>
      <c r="C168" s="389">
        <f>555.9-56.6+1.99917-1.99917</f>
        <v>499.29999999999995</v>
      </c>
      <c r="D168" s="389">
        <v>499.3</v>
      </c>
      <c r="E168" s="389">
        <f t="shared" si="4"/>
        <v>100.00000000000003</v>
      </c>
    </row>
    <row r="169" spans="1:5" ht="15.75" x14ac:dyDescent="0.25">
      <c r="A169" s="137" t="s">
        <v>804</v>
      </c>
      <c r="B169" s="146" t="s">
        <v>105</v>
      </c>
      <c r="C169" s="492">
        <f>C174+C172+C170+C179+C181</f>
        <v>22075</v>
      </c>
      <c r="D169" s="492">
        <f>D174+D172+D170+D179+D181</f>
        <v>22075</v>
      </c>
      <c r="E169" s="492">
        <f t="shared" si="4"/>
        <v>100</v>
      </c>
    </row>
    <row r="170" spans="1:5" ht="48.75" customHeight="1" x14ac:dyDescent="0.25">
      <c r="A170" s="137" t="s">
        <v>1791</v>
      </c>
      <c r="B170" s="524" t="s">
        <v>1792</v>
      </c>
      <c r="C170" s="492">
        <f>C171</f>
        <v>1500</v>
      </c>
      <c r="D170" s="492">
        <f>D171</f>
        <v>1500</v>
      </c>
      <c r="E170" s="492">
        <f t="shared" si="4"/>
        <v>100</v>
      </c>
    </row>
    <row r="171" spans="1:5" ht="48.75" customHeight="1" x14ac:dyDescent="0.25">
      <c r="A171" s="190" t="s">
        <v>1793</v>
      </c>
      <c r="B171" s="148" t="s">
        <v>1794</v>
      </c>
      <c r="C171" s="389">
        <v>1500</v>
      </c>
      <c r="D171" s="389">
        <v>1500</v>
      </c>
      <c r="E171" s="389">
        <f t="shared" si="4"/>
        <v>100</v>
      </c>
    </row>
    <row r="172" spans="1:5" ht="52.5" customHeight="1" x14ac:dyDescent="0.25">
      <c r="A172" s="525" t="s">
        <v>1387</v>
      </c>
      <c r="B172" s="271" t="s">
        <v>1385</v>
      </c>
      <c r="C172" s="492">
        <f>C173</f>
        <v>7028</v>
      </c>
      <c r="D172" s="492">
        <f>D173</f>
        <v>7028</v>
      </c>
      <c r="E172" s="492">
        <f t="shared" si="4"/>
        <v>100</v>
      </c>
    </row>
    <row r="173" spans="1:5" ht="66.75" customHeight="1" x14ac:dyDescent="0.25">
      <c r="A173" s="526" t="s">
        <v>1795</v>
      </c>
      <c r="B173" s="149" t="s">
        <v>1386</v>
      </c>
      <c r="C173" s="389">
        <f>7226.1-198.1</f>
        <v>7028</v>
      </c>
      <c r="D173" s="389">
        <v>7028</v>
      </c>
      <c r="E173" s="389">
        <f t="shared" si="4"/>
        <v>100</v>
      </c>
    </row>
    <row r="174" spans="1:5" ht="15.75" hidden="1" x14ac:dyDescent="0.25">
      <c r="A174" s="137" t="s">
        <v>803</v>
      </c>
      <c r="B174" s="146" t="s">
        <v>106</v>
      </c>
      <c r="C174" s="492">
        <f>C175</f>
        <v>0</v>
      </c>
      <c r="D174" s="492">
        <f>D175</f>
        <v>0</v>
      </c>
      <c r="E174" s="389" t="e">
        <f t="shared" si="4"/>
        <v>#DIV/0!</v>
      </c>
    </row>
    <row r="175" spans="1:5" ht="31.5" hidden="1" x14ac:dyDescent="0.25">
      <c r="A175" s="190" t="s">
        <v>814</v>
      </c>
      <c r="B175" s="139" t="s">
        <v>1123</v>
      </c>
      <c r="C175" s="523">
        <f>SUM(C176:C178)</f>
        <v>0</v>
      </c>
      <c r="D175" s="523">
        <f>SUM(D176:D178)</f>
        <v>0</v>
      </c>
      <c r="E175" s="389" t="e">
        <f t="shared" si="4"/>
        <v>#DIV/0!</v>
      </c>
    </row>
    <row r="176" spans="1:5" ht="15.75" hidden="1" x14ac:dyDescent="0.25">
      <c r="A176" s="543"/>
      <c r="B176" s="149"/>
      <c r="C176" s="523"/>
      <c r="D176" s="523"/>
      <c r="E176" s="389" t="e">
        <f t="shared" si="4"/>
        <v>#DIV/0!</v>
      </c>
    </row>
    <row r="177" spans="1:5" ht="15.75" hidden="1" x14ac:dyDescent="0.25">
      <c r="A177" s="544"/>
      <c r="B177" s="149"/>
      <c r="C177" s="523"/>
      <c r="D177" s="523"/>
      <c r="E177" s="389" t="e">
        <f t="shared" si="4"/>
        <v>#DIV/0!</v>
      </c>
    </row>
    <row r="178" spans="1:5" ht="15.75" hidden="1" x14ac:dyDescent="0.25">
      <c r="A178" s="545"/>
      <c r="B178" s="149"/>
      <c r="C178" s="523"/>
      <c r="D178" s="523"/>
      <c r="E178" s="389" t="e">
        <f t="shared" si="4"/>
        <v>#DIV/0!</v>
      </c>
    </row>
    <row r="179" spans="1:5" ht="31.5" x14ac:dyDescent="0.25">
      <c r="A179" s="527" t="s">
        <v>1796</v>
      </c>
      <c r="B179" s="271" t="s">
        <v>1797</v>
      </c>
      <c r="C179" s="528">
        <f>C180</f>
        <v>10000</v>
      </c>
      <c r="D179" s="528">
        <f>D180</f>
        <v>10000</v>
      </c>
      <c r="E179" s="492">
        <f t="shared" si="4"/>
        <v>100</v>
      </c>
    </row>
    <row r="180" spans="1:5" ht="31.5" x14ac:dyDescent="0.25">
      <c r="A180" s="500" t="s">
        <v>1798</v>
      </c>
      <c r="B180" s="149" t="s">
        <v>1799</v>
      </c>
      <c r="C180" s="523">
        <v>10000</v>
      </c>
      <c r="D180" s="523">
        <v>10000</v>
      </c>
      <c r="E180" s="389">
        <f t="shared" si="4"/>
        <v>100</v>
      </c>
    </row>
    <row r="181" spans="1:5" ht="15.75" x14ac:dyDescent="0.25">
      <c r="A181" s="527" t="s">
        <v>803</v>
      </c>
      <c r="B181" s="529" t="s">
        <v>106</v>
      </c>
      <c r="C181" s="528">
        <f>C182</f>
        <v>3547</v>
      </c>
      <c r="D181" s="528">
        <f>D182</f>
        <v>3547</v>
      </c>
      <c r="E181" s="492">
        <f t="shared" si="4"/>
        <v>100</v>
      </c>
    </row>
    <row r="182" spans="1:5" ht="33.75" customHeight="1" x14ac:dyDescent="0.25">
      <c r="A182" s="530" t="s">
        <v>814</v>
      </c>
      <c r="B182" s="149" t="s">
        <v>1800</v>
      </c>
      <c r="C182" s="523">
        <v>3547</v>
      </c>
      <c r="D182" s="523">
        <v>3547</v>
      </c>
      <c r="E182" s="389">
        <f t="shared" si="4"/>
        <v>100</v>
      </c>
    </row>
    <row r="183" spans="1:5" ht="31.5" x14ac:dyDescent="0.25">
      <c r="A183" s="531" t="s">
        <v>1801</v>
      </c>
      <c r="B183" s="271" t="s">
        <v>1802</v>
      </c>
      <c r="C183" s="528">
        <f>C184</f>
        <v>5307.0497000000032</v>
      </c>
      <c r="D183" s="528">
        <f>D184</f>
        <v>5307.049</v>
      </c>
      <c r="E183" s="492">
        <f t="shared" si="4"/>
        <v>99.99998680999721</v>
      </c>
    </row>
    <row r="184" spans="1:5" ht="31.5" x14ac:dyDescent="0.25">
      <c r="A184" s="527" t="s">
        <v>1803</v>
      </c>
      <c r="B184" s="271" t="s">
        <v>1804</v>
      </c>
      <c r="C184" s="528">
        <f>C185</f>
        <v>5307.0497000000032</v>
      </c>
      <c r="D184" s="528">
        <f>D185</f>
        <v>5307.049</v>
      </c>
      <c r="E184" s="492">
        <f t="shared" si="4"/>
        <v>99.99998680999721</v>
      </c>
    </row>
    <row r="185" spans="1:5" ht="47.25" x14ac:dyDescent="0.25">
      <c r="A185" s="500" t="s">
        <v>1805</v>
      </c>
      <c r="B185" s="149" t="s">
        <v>1806</v>
      </c>
      <c r="C185" s="523">
        <f>44726.9+10922.9-50342.7503</f>
        <v>5307.0497000000032</v>
      </c>
      <c r="D185" s="523">
        <v>5307.049</v>
      </c>
      <c r="E185" s="389">
        <f t="shared" si="4"/>
        <v>99.99998680999721</v>
      </c>
    </row>
    <row r="186" spans="1:5" ht="31.5" x14ac:dyDescent="0.25">
      <c r="A186" s="527" t="s">
        <v>1807</v>
      </c>
      <c r="B186" s="271" t="s">
        <v>1808</v>
      </c>
      <c r="C186" s="528">
        <f>C187+C188</f>
        <v>0</v>
      </c>
      <c r="D186" s="528">
        <f>D187+D188</f>
        <v>-5833.223</v>
      </c>
      <c r="E186" s="492" t="s">
        <v>1708</v>
      </c>
    </row>
    <row r="187" spans="1:5" ht="48.75" customHeight="1" x14ac:dyDescent="0.25">
      <c r="A187" s="500" t="s">
        <v>1809</v>
      </c>
      <c r="B187" s="149" t="s">
        <v>1810</v>
      </c>
      <c r="C187" s="523">
        <v>0</v>
      </c>
      <c r="D187" s="523">
        <v>-5831.2240000000002</v>
      </c>
      <c r="E187" s="389" t="s">
        <v>1708</v>
      </c>
    </row>
    <row r="188" spans="1:5" ht="47.25" x14ac:dyDescent="0.25">
      <c r="A188" s="500" t="s">
        <v>1811</v>
      </c>
      <c r="B188" s="149" t="s">
        <v>1812</v>
      </c>
      <c r="C188" s="523">
        <v>0</v>
      </c>
      <c r="D188" s="523">
        <v>-1.9990000000000001</v>
      </c>
      <c r="E188" s="389" t="s">
        <v>1708</v>
      </c>
    </row>
    <row r="189" spans="1:5" ht="15.75" hidden="1" x14ac:dyDescent="0.25">
      <c r="A189" s="527"/>
      <c r="B189" s="149"/>
      <c r="C189" s="523"/>
      <c r="D189" s="523"/>
      <c r="E189" s="389" t="e">
        <f t="shared" ref="E189:E197" si="5">D189/C189*100</f>
        <v>#DIV/0!</v>
      </c>
    </row>
    <row r="190" spans="1:5" ht="15.75" hidden="1" x14ac:dyDescent="0.25">
      <c r="A190" s="527"/>
      <c r="B190" s="149"/>
      <c r="C190" s="523"/>
      <c r="D190" s="523"/>
      <c r="E190" s="389" t="e">
        <f t="shared" si="5"/>
        <v>#DIV/0!</v>
      </c>
    </row>
    <row r="191" spans="1:5" ht="15.75" hidden="1" x14ac:dyDescent="0.25">
      <c r="A191" s="391" t="s">
        <v>783</v>
      </c>
      <c r="B191" s="184" t="s">
        <v>784</v>
      </c>
      <c r="C191" s="528">
        <f>SUM(C192)</f>
        <v>0</v>
      </c>
      <c r="D191" s="528">
        <f>SUM(D192)</f>
        <v>0</v>
      </c>
      <c r="E191" s="389" t="e">
        <f t="shared" si="5"/>
        <v>#DIV/0!</v>
      </c>
    </row>
    <row r="192" spans="1:5" ht="15.75" hidden="1" x14ac:dyDescent="0.25">
      <c r="A192" s="391" t="s">
        <v>785</v>
      </c>
      <c r="B192" s="184" t="s">
        <v>786</v>
      </c>
      <c r="C192" s="528">
        <f>SUM(C193)</f>
        <v>0</v>
      </c>
      <c r="D192" s="528">
        <f>SUM(D193)</f>
        <v>0</v>
      </c>
      <c r="E192" s="389" t="e">
        <f t="shared" si="5"/>
        <v>#DIV/0!</v>
      </c>
    </row>
    <row r="193" spans="1:5" ht="15.75" hidden="1" x14ac:dyDescent="0.25">
      <c r="A193" s="546" t="s">
        <v>833</v>
      </c>
      <c r="B193" s="186" t="s">
        <v>786</v>
      </c>
      <c r="C193" s="528">
        <f>SUM(C195:C196)</f>
        <v>0</v>
      </c>
      <c r="D193" s="528">
        <f>SUM(D195:D196)</f>
        <v>0</v>
      </c>
      <c r="E193" s="389" t="e">
        <f t="shared" si="5"/>
        <v>#DIV/0!</v>
      </c>
    </row>
    <row r="194" spans="1:5" ht="15.75" hidden="1" x14ac:dyDescent="0.25">
      <c r="A194" s="547"/>
      <c r="B194" s="186" t="s">
        <v>99</v>
      </c>
      <c r="C194" s="528"/>
      <c r="D194" s="528"/>
      <c r="E194" s="389" t="e">
        <f t="shared" si="5"/>
        <v>#DIV/0!</v>
      </c>
    </row>
    <row r="195" spans="1:5" ht="15.75" hidden="1" x14ac:dyDescent="0.25">
      <c r="A195" s="547"/>
      <c r="B195" s="185"/>
      <c r="C195" s="523">
        <v>0</v>
      </c>
      <c r="D195" s="523">
        <v>0</v>
      </c>
      <c r="E195" s="389" t="e">
        <f t="shared" si="5"/>
        <v>#DIV/0!</v>
      </c>
    </row>
    <row r="196" spans="1:5" ht="15.75" hidden="1" x14ac:dyDescent="0.25">
      <c r="A196" s="547"/>
      <c r="B196" s="185"/>
      <c r="C196" s="523">
        <v>0</v>
      </c>
      <c r="D196" s="523">
        <v>0</v>
      </c>
      <c r="E196" s="389" t="e">
        <f t="shared" si="5"/>
        <v>#DIV/0!</v>
      </c>
    </row>
    <row r="197" spans="1:5" ht="15.75" x14ac:dyDescent="0.25">
      <c r="A197" s="190"/>
      <c r="B197" s="181" t="s">
        <v>107</v>
      </c>
      <c r="C197" s="492">
        <f>SUM(C7+C83)</f>
        <v>936302.3528799999</v>
      </c>
      <c r="D197" s="492">
        <f>SUM(D7+D83)</f>
        <v>935600.41100000008</v>
      </c>
      <c r="E197" s="492">
        <f t="shared" si="5"/>
        <v>99.925030426566735</v>
      </c>
    </row>
    <row r="198" spans="1:5" x14ac:dyDescent="0.25">
      <c r="A198" s="128"/>
      <c r="B198" s="128"/>
      <c r="C198" s="173">
        <f>C7+C87+C89</f>
        <v>537157.34100000001</v>
      </c>
      <c r="D198" s="173">
        <f>D7+D87+D89</f>
        <v>550863.7790000001</v>
      </c>
      <c r="E198" s="173">
        <f>E7+E87+E89</f>
        <v>304.16486338595291</v>
      </c>
    </row>
    <row r="199" spans="1:5" x14ac:dyDescent="0.25">
      <c r="A199" s="128"/>
      <c r="B199" s="128"/>
      <c r="C199" s="173">
        <f>C83-C87-C89</f>
        <v>399145.01187999989</v>
      </c>
      <c r="D199" s="173">
        <f>D83-D87-D89</f>
        <v>384736.63199999998</v>
      </c>
      <c r="E199" s="173">
        <f>E83-E87-E89</f>
        <v>-102.37290043831945</v>
      </c>
    </row>
    <row r="200" spans="1:5" x14ac:dyDescent="0.25">
      <c r="A200" s="128"/>
      <c r="B200" s="128"/>
      <c r="C200" s="173"/>
      <c r="D200" s="173"/>
      <c r="E200" s="173"/>
    </row>
  </sheetData>
  <mergeCells count="8">
    <mergeCell ref="A113:A140"/>
    <mergeCell ref="A144:A162"/>
    <mergeCell ref="A176:A178"/>
    <mergeCell ref="A193:A196"/>
    <mergeCell ref="A4:E4"/>
    <mergeCell ref="D1:E1"/>
    <mergeCell ref="D2:E2"/>
    <mergeCell ref="D3:E3"/>
  </mergeCells>
  <hyperlinks>
    <hyperlink ref="B68" r:id="rId1" display="consultantplus://offline/ref=90DD075742B43C415054D7C57EEE35341F87E5BC1D9D1BDE3A747C0D881C15D50B24F795703DF0A84C588B73F9A8AC3C8A6AC02CDB9A5E68c4m2F"/>
    <hyperlink ref="B70" r:id="rId2" display="consultantplus://offline/ref=90DD075742B43C415054D7C57EEE35341F87E5BC1D9D1BDE3A747C0D881C15D50B24F795703DF2AD4E588B73F9A8AC3C8A6AC02CDB9A5E68c4m2F"/>
    <hyperlink ref="B72" r:id="rId3" display="consultantplus://offline/ref=90DD075742B43C415054D7C57EEE35341F87E5BC1D9D1BDE3A747C0D881C15D50B24F795703CF7A64B588B73F9A8AC3C8A6AC02CDB9A5E68c4m2F"/>
    <hyperlink ref="B71" r:id="rId4" display="consultantplus://offline/ref=90DD075742B43C415054D7C57EEE35341F87E5BC1D9D1BDE3A747C0D881C15D50B24F795703CF7A64B588B73F9A8AC3C8A6AC02CDB9A5E68c4m2F"/>
    <hyperlink ref="B67" r:id="rId5" display="consultantplus://offline/ref=90DD075742B43C415054D7C57EEE35341F87E5BC1D9D1BDE3A747C0D881C15D50B24F795703DF0A84C588B73F9A8AC3C8A6AC02CDB9A5E68c4m2F"/>
    <hyperlink ref="B69" r:id="rId6" display="consultantplus://offline/ref=90DD075742B43C415054D7C57EEE35341F87E5BC1D9D1BDE3A747C0D881C15D50B24F795703DF2AD4E588B73F9A8AC3C8A6AC02CDB9A5E68c4m2F"/>
  </hyperlinks>
  <pageMargins left="0.23622047244094491" right="0.23622047244094491" top="0.35433070866141736" bottom="0.35433070866141736" header="0.31496062992125984" footer="0.31496062992125984"/>
  <pageSetup paperSize="9" scale="59" orientation="portrait" r:id="rId7"/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0" t="s">
        <v>108</v>
      </c>
      <c r="G1" s="63"/>
      <c r="H1" s="171"/>
    </row>
    <row r="2" spans="1:9" ht="18.75" x14ac:dyDescent="0.3">
      <c r="A2" s="63"/>
      <c r="B2" s="63"/>
      <c r="C2" s="63"/>
      <c r="D2" s="63"/>
      <c r="E2" s="62"/>
      <c r="F2" s="150" t="s">
        <v>0</v>
      </c>
      <c r="G2" s="63"/>
      <c r="H2" s="171"/>
    </row>
    <row r="3" spans="1:9" ht="18.75" x14ac:dyDescent="0.3">
      <c r="A3" s="63"/>
      <c r="B3" s="63"/>
      <c r="C3" s="63"/>
      <c r="D3" s="63"/>
      <c r="E3" s="62"/>
      <c r="F3" s="150" t="s">
        <v>737</v>
      </c>
      <c r="G3" s="63"/>
      <c r="H3" s="171"/>
    </row>
    <row r="4" spans="1:9" ht="15.75" x14ac:dyDescent="0.25">
      <c r="A4" s="565"/>
      <c r="B4" s="565"/>
      <c r="C4" s="565"/>
      <c r="D4" s="565"/>
      <c r="E4" s="565"/>
      <c r="F4" s="565"/>
      <c r="G4" s="565"/>
      <c r="H4" s="171"/>
    </row>
    <row r="5" spans="1:9" ht="15.75" x14ac:dyDescent="0.25">
      <c r="A5" s="556" t="s">
        <v>109</v>
      </c>
      <c r="B5" s="556"/>
      <c r="C5" s="556"/>
      <c r="D5" s="556"/>
      <c r="E5" s="556"/>
      <c r="F5" s="556"/>
      <c r="G5" s="556"/>
      <c r="H5" s="171"/>
    </row>
    <row r="6" spans="1:9" ht="15.75" x14ac:dyDescent="0.25">
      <c r="A6" s="168"/>
      <c r="B6" s="168"/>
      <c r="C6" s="168"/>
      <c r="D6" s="168"/>
      <c r="E6" s="168"/>
      <c r="F6" s="168"/>
      <c r="G6" s="168"/>
      <c r="H6" s="171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1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1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1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1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1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1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1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1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1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1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1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1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1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1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1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1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1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1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1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1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1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1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1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1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1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1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1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1">
        <f>36517.7-553.5-1733.7</f>
        <v>34230.5</v>
      </c>
      <c r="H34" s="152" t="s">
        <v>715</v>
      </c>
      <c r="J34" s="166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1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1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1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1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1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1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1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1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1">
        <f>6958.6+88.4-2398.3+1112.5</f>
        <v>5761.2</v>
      </c>
      <c r="H45" s="105" t="s">
        <v>716</v>
      </c>
      <c r="I45" s="123"/>
      <c r="J45" s="165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1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1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1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1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1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1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1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1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1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1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1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1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1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1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1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1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1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1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1"/>
    </row>
    <row r="65" spans="1:8" ht="63" x14ac:dyDescent="0.25">
      <c r="A65" s="172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1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1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1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1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1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1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1"/>
    </row>
    <row r="75" spans="1:8" ht="31.5" x14ac:dyDescent="0.25">
      <c r="A75" s="172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1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1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1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1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1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1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1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1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1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1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1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1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1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1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1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1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1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1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1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1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1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1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1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1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1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1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1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1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1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1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1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1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1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1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1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1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1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1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1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1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1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1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1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1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1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1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1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1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1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1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1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1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1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1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1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1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1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1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1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1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1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1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1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1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1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1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1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1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1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1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1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1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1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1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1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1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1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1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1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1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1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4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1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1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1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1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1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1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1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1">
        <f>204.7+100</f>
        <v>304.7</v>
      </c>
      <c r="H173" s="152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1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1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1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1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1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1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1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1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3">
        <f>310+140</f>
        <v>450</v>
      </c>
      <c r="H183" s="152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1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1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1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1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1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7">
        <v>90</v>
      </c>
      <c r="H189" s="152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1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1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1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1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1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1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1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1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1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1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1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1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1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1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1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1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1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1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1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1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1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1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1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1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1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1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1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1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1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1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1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1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1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1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1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1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1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1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1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1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1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7">
        <v>88.7</v>
      </c>
      <c r="H234" s="152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1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1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1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1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1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1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1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1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1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1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1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1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1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1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1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1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1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1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1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1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1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1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1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1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1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1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1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1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1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1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1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1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1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1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1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1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1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1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1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1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1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1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1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1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1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1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1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1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1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1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1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1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1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1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1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1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1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1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1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1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1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1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1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1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1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1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1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1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1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1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1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1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1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1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1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1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1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1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1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1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1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1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1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1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1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1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1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1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1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1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1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1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1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1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1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1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1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1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1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1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1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1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1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1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1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1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1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1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1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1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1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1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1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1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1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1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1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1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1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1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1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1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1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1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1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1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1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1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1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1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1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1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1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1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1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1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1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1"/>
      <c r="J381" s="566"/>
      <c r="K381" s="566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1"/>
      <c r="J382" s="566"/>
      <c r="K382" s="566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566"/>
      <c r="K383" s="566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1"/>
      <c r="J384" s="566"/>
      <c r="K384" s="566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566"/>
      <c r="K385" s="566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1"/>
      <c r="J386" s="566"/>
      <c r="K386" s="566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1"/>
      <c r="J387" s="566"/>
      <c r="K387" s="566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1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1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1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1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1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1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1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1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1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1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1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1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1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1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1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1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1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1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1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1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1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7">
        <f>552-50+45</f>
        <v>547</v>
      </c>
      <c r="H410" s="152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1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1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1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1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1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1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1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1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1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1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1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1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1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1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1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1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1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1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1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1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1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1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1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1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1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1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1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1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1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1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1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1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1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59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1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1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7">
        <v>59.4</v>
      </c>
      <c r="H453" s="152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1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1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1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1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1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1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1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1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1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1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1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1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1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1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1">
        <f>885.8-74</f>
        <v>811.8</v>
      </c>
      <c r="H468" s="152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1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3">
        <f>2.5+74</f>
        <v>76.5</v>
      </c>
      <c r="H470" s="152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1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1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1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1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1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7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1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1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1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1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1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1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1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1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1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1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1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1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1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1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1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1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1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1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1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1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1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1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1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1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1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1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1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1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1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1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1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1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1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1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1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3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1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1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1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1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1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1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3">
        <f>800+300+45</f>
        <v>1145</v>
      </c>
      <c r="H519" s="160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1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1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1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1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1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1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1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1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1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1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1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1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1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1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1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1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1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1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1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1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1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1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1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1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1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1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1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1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1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1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3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1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1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1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1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1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1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1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1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1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1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1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1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1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1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1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1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1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1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1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1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1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1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1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1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1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1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1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1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1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1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1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1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1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1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1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1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1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1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1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1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1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1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1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1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1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1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1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1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1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1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1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1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1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1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1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1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1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1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1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1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1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1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1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1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1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1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1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1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1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1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1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1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1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1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1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1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1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1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1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1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1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1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1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1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1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1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1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1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1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1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1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1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1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1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1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1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1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1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1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1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1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1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1">
        <f>4975.7+5.8</f>
        <v>4981.5</v>
      </c>
      <c r="H659" s="152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1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3">
        <f>163-5.8</f>
        <v>157.19999999999999</v>
      </c>
      <c r="H661" s="152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1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1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1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7">
        <f>206.3+143.7+25</f>
        <v>375</v>
      </c>
      <c r="H665" s="152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1"/>
      <c r="J666" s="566"/>
      <c r="K666" s="566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1"/>
      <c r="J667" s="566"/>
      <c r="K667" s="566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566"/>
      <c r="K668" s="566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1"/>
      <c r="J669" s="566"/>
      <c r="K669" s="566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566"/>
      <c r="K670" s="566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1"/>
      <c r="J671" s="566"/>
      <c r="K671" s="566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566"/>
      <c r="K672" s="566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1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1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1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1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1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1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1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1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1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1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1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1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1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1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1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1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1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1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1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1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1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1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1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1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1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1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1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1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1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1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1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1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1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1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1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1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58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1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1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3">
        <f>797.5-500</f>
        <v>297.5</v>
      </c>
      <c r="H713" s="152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1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1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1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1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1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1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1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1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1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1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3">
        <v>500</v>
      </c>
      <c r="H724" s="152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1"/>
    </row>
    <row r="726" spans="1:9" ht="47.25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1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1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1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1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1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1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1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1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1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1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1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1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1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1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1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1"/>
      <c r="J741" s="566"/>
      <c r="K741" s="566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1"/>
      <c r="J742" s="566"/>
      <c r="K742" s="566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566"/>
      <c r="K743" s="566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1"/>
      <c r="J744" s="566"/>
      <c r="K744" s="566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566"/>
      <c r="K745" s="566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1"/>
      <c r="J746" s="566"/>
      <c r="K746" s="566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566"/>
      <c r="K747" s="566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1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1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1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1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1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1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1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1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1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1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1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1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1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1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1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1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1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1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1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1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1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1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1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1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1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1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1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1"/>
    </row>
    <row r="778" spans="1:9" ht="47.25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1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1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1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1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2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1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1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1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1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1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1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1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1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1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1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1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1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1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1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1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1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3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1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1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1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1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1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1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1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1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2">
        <f>110+20+2977</f>
        <v>3107</v>
      </c>
      <c r="H810" s="156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1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1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2">
        <f>10+30+3534.6-2200</f>
        <v>1374.6</v>
      </c>
      <c r="H813" s="112" t="s">
        <v>750</v>
      </c>
      <c r="J813" s="163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1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1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2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1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1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4" t="s">
        <v>752</v>
      </c>
    </row>
    <row r="820" spans="1:10" ht="31.5" hidden="1" x14ac:dyDescent="0.25">
      <c r="A820" s="172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1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1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1"/>
    </row>
    <row r="823" spans="1:10" ht="15.75" x14ac:dyDescent="0.25">
      <c r="A823" s="172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1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1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4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1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1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1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1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1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1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1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1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1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1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7">
        <f>10880-5000-2230+172.1+16500</f>
        <v>20322.099999999999</v>
      </c>
      <c r="H840" s="105" t="s">
        <v>749</v>
      </c>
      <c r="I840" s="114"/>
      <c r="J840" s="165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1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1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1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1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1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1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1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1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1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1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1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1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1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1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1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1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1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1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1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1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1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1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1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1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1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1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1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1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1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1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1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1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1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1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1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1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1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1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1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1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1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1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1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1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1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1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1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1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1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1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1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1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1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1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1">
        <f>13259.3+28.4+100-59.9</f>
        <v>13327.8</v>
      </c>
      <c r="H904" s="105" t="s">
        <v>747</v>
      </c>
      <c r="I904" s="123"/>
      <c r="J904" s="165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1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1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7">
        <f>89+59.9</f>
        <v>148.9</v>
      </c>
      <c r="H908" s="152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1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1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1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1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1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1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1">
        <f>6196.89-1411.4-100-180</f>
        <v>4505.49</v>
      </c>
      <c r="H915" s="105" t="s">
        <v>760</v>
      </c>
      <c r="I915" s="123"/>
      <c r="J915" s="164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1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1">
        <f>1341.9+928.5-198.8-595.1+180</f>
        <v>1656.5</v>
      </c>
      <c r="H917" s="105" t="s">
        <v>761</v>
      </c>
      <c r="I917" s="124"/>
      <c r="J917" s="164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1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1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1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1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1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1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1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1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1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1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1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1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1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1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1"/>
      <c r="J932" s="164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1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1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1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1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1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1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1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1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1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1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1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1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1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1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1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1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1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1"/>
      <c r="J950" s="167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1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1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1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1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1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1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1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1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1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1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1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1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1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1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1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1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1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1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1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1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1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1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1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'пр.2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'пр.2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'пр.2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'пр.2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'пр.2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'пр.2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'пр.2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'пр.2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'пр.2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'пр.2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2"/>
  <sheetViews>
    <sheetView view="pageBreakPreview" zoomScaleNormal="100" zoomScaleSheetLayoutView="100" workbookViewId="0">
      <selection activeCell="AH4" sqref="AH4"/>
    </sheetView>
  </sheetViews>
  <sheetFormatPr defaultRowHeight="15" x14ac:dyDescent="0.25"/>
  <cols>
    <col min="1" max="1" width="55" style="192" customWidth="1"/>
    <col min="2" max="2" width="6.42578125" style="192" customWidth="1"/>
    <col min="3" max="3" width="6" style="192" customWidth="1"/>
    <col min="4" max="4" width="5.140625" style="192" customWidth="1"/>
    <col min="5" max="5" width="15.85546875" style="192" customWidth="1"/>
    <col min="6" max="6" width="7" style="192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hidden="1" customWidth="1"/>
    <col min="13" max="13" width="10.85546875" hidden="1" customWidth="1"/>
    <col min="14" max="14" width="9.28515625" hidden="1" customWidth="1"/>
    <col min="15" max="15" width="7.42578125" hidden="1" customWidth="1"/>
    <col min="16" max="16" width="8" hidden="1" customWidth="1"/>
    <col min="17" max="17" width="7.7109375" hidden="1" customWidth="1"/>
    <col min="18" max="18" width="7.140625" hidden="1" customWidth="1"/>
    <col min="19" max="23" width="8.140625" style="191" hidden="1" customWidth="1"/>
    <col min="24" max="24" width="6.7109375" hidden="1" customWidth="1"/>
    <col min="25" max="27" width="7.42578125" style="191" hidden="1" customWidth="1"/>
    <col min="28" max="33" width="0" hidden="1" customWidth="1"/>
  </cols>
  <sheetData>
    <row r="1" spans="1:9" ht="18.75" customHeight="1" x14ac:dyDescent="0.25">
      <c r="A1" s="63"/>
      <c r="B1" s="63"/>
      <c r="C1" s="63"/>
      <c r="D1" s="63"/>
      <c r="G1" s="539" t="s">
        <v>1690</v>
      </c>
      <c r="H1" s="539"/>
      <c r="I1" s="192"/>
    </row>
    <row r="2" spans="1:9" ht="18.75" customHeight="1" x14ac:dyDescent="0.25">
      <c r="A2" s="63"/>
      <c r="B2" s="63"/>
      <c r="C2" s="63"/>
      <c r="D2" s="63"/>
      <c r="G2" s="539" t="s">
        <v>1500</v>
      </c>
      <c r="H2" s="539"/>
      <c r="I2" s="192"/>
    </row>
    <row r="3" spans="1:9" s="191" customFormat="1" ht="18.75" customHeight="1" x14ac:dyDescent="0.25">
      <c r="A3" s="63"/>
      <c r="B3" s="63"/>
      <c r="C3" s="63"/>
      <c r="D3" s="63"/>
      <c r="E3" s="192"/>
      <c r="F3" s="192"/>
      <c r="G3" s="539" t="s">
        <v>1698</v>
      </c>
      <c r="H3" s="539"/>
      <c r="I3" s="192"/>
    </row>
    <row r="4" spans="1:9" ht="15.75" x14ac:dyDescent="0.25">
      <c r="A4" s="565"/>
      <c r="B4" s="565"/>
      <c r="C4" s="565"/>
      <c r="D4" s="565"/>
      <c r="E4" s="565"/>
      <c r="F4" s="565"/>
      <c r="I4" s="192"/>
    </row>
    <row r="5" spans="1:9" ht="15.75" x14ac:dyDescent="0.25">
      <c r="A5" s="556" t="s">
        <v>1287</v>
      </c>
      <c r="B5" s="556"/>
      <c r="C5" s="556"/>
      <c r="D5" s="556"/>
      <c r="E5" s="556"/>
      <c r="F5" s="556"/>
      <c r="G5" s="556"/>
      <c r="H5" s="556"/>
      <c r="I5" s="192"/>
    </row>
    <row r="6" spans="1:9" ht="15.75" x14ac:dyDescent="0.25">
      <c r="A6" s="457"/>
      <c r="B6" s="312"/>
      <c r="C6" s="312"/>
      <c r="D6" s="312"/>
      <c r="E6" s="312"/>
      <c r="F6" s="312"/>
      <c r="I6" s="192"/>
    </row>
    <row r="7" spans="1:9" ht="15.75" x14ac:dyDescent="0.25">
      <c r="A7" s="13"/>
      <c r="B7" s="13"/>
      <c r="C7" s="13"/>
      <c r="D7" s="13"/>
      <c r="E7" s="13"/>
      <c r="F7" s="13"/>
      <c r="G7" s="250" t="s">
        <v>1</v>
      </c>
      <c r="H7" s="250"/>
      <c r="I7" s="192"/>
    </row>
    <row r="8" spans="1:9" ht="63" x14ac:dyDescent="0.25">
      <c r="A8" s="456" t="s">
        <v>110</v>
      </c>
      <c r="B8" s="311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36" t="s">
        <v>1027</v>
      </c>
      <c r="H8" s="336" t="s">
        <v>1288</v>
      </c>
      <c r="I8" s="192"/>
    </row>
    <row r="9" spans="1:9" s="191" customFormat="1" ht="15.75" x14ac:dyDescent="0.25">
      <c r="A9" s="272" t="s">
        <v>1411</v>
      </c>
      <c r="B9" s="311"/>
      <c r="C9" s="15"/>
      <c r="D9" s="15"/>
      <c r="E9" s="15"/>
      <c r="F9" s="15"/>
      <c r="G9" s="59">
        <f>'пр.2.1. рдпр 22-23'!D10</f>
        <v>8227.4860250000002</v>
      </c>
      <c r="H9" s="59">
        <v>25451.88</v>
      </c>
      <c r="I9" s="192"/>
    </row>
    <row r="10" spans="1:9" ht="31.5" x14ac:dyDescent="0.25">
      <c r="A10" s="391" t="s">
        <v>116</v>
      </c>
      <c r="B10" s="19">
        <v>901</v>
      </c>
      <c r="C10" s="20"/>
      <c r="D10" s="20"/>
      <c r="E10" s="20"/>
      <c r="F10" s="20"/>
      <c r="G10" s="393">
        <f>G11+G25</f>
        <v>13506</v>
      </c>
      <c r="H10" s="393">
        <f>H11+H25</f>
        <v>13506</v>
      </c>
      <c r="I10" s="192"/>
    </row>
    <row r="11" spans="1:9" ht="15.75" x14ac:dyDescent="0.25">
      <c r="A11" s="394" t="s">
        <v>117</v>
      </c>
      <c r="B11" s="19">
        <v>901</v>
      </c>
      <c r="C11" s="24" t="s">
        <v>118</v>
      </c>
      <c r="D11" s="20"/>
      <c r="E11" s="20"/>
      <c r="F11" s="20"/>
      <c r="G11" s="393">
        <f t="shared" ref="G11:H13" si="0">G12</f>
        <v>13506</v>
      </c>
      <c r="H11" s="393">
        <f t="shared" si="0"/>
        <v>13506</v>
      </c>
      <c r="I11" s="192"/>
    </row>
    <row r="12" spans="1:9" ht="51" customHeight="1" x14ac:dyDescent="0.25">
      <c r="A12" s="394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393">
        <f t="shared" si="0"/>
        <v>13506</v>
      </c>
      <c r="H12" s="393">
        <f t="shared" si="0"/>
        <v>13506</v>
      </c>
      <c r="I12" s="192"/>
    </row>
    <row r="13" spans="1:9" ht="31.5" x14ac:dyDescent="0.25">
      <c r="A13" s="394" t="s">
        <v>916</v>
      </c>
      <c r="B13" s="19">
        <v>901</v>
      </c>
      <c r="C13" s="24" t="s">
        <v>118</v>
      </c>
      <c r="D13" s="24" t="s">
        <v>120</v>
      </c>
      <c r="E13" s="24" t="s">
        <v>857</v>
      </c>
      <c r="F13" s="24"/>
      <c r="G13" s="393">
        <f t="shared" si="0"/>
        <v>13506</v>
      </c>
      <c r="H13" s="393">
        <f t="shared" si="0"/>
        <v>13506</v>
      </c>
      <c r="I13" s="192"/>
    </row>
    <row r="14" spans="1:9" ht="15.75" x14ac:dyDescent="0.25">
      <c r="A14" s="394" t="s">
        <v>917</v>
      </c>
      <c r="B14" s="19">
        <v>901</v>
      </c>
      <c r="C14" s="24" t="s">
        <v>118</v>
      </c>
      <c r="D14" s="24" t="s">
        <v>120</v>
      </c>
      <c r="E14" s="24" t="s">
        <v>858</v>
      </c>
      <c r="F14" s="24"/>
      <c r="G14" s="393">
        <f>G15+G22</f>
        <v>13506</v>
      </c>
      <c r="H14" s="393">
        <f>H15+H22</f>
        <v>13506</v>
      </c>
      <c r="I14" s="192"/>
    </row>
    <row r="15" spans="1:9" ht="31.5" x14ac:dyDescent="0.25">
      <c r="A15" s="396" t="s">
        <v>896</v>
      </c>
      <c r="B15" s="16">
        <v>901</v>
      </c>
      <c r="C15" s="20" t="s">
        <v>118</v>
      </c>
      <c r="D15" s="20" t="s">
        <v>120</v>
      </c>
      <c r="E15" s="20" t="s">
        <v>859</v>
      </c>
      <c r="F15" s="20"/>
      <c r="G15" s="397">
        <f>G16+G18+G20</f>
        <v>13086</v>
      </c>
      <c r="H15" s="397">
        <f>H16+H18+H20</f>
        <v>13086</v>
      </c>
      <c r="I15" s="192"/>
    </row>
    <row r="16" spans="1:9" ht="78.75" x14ac:dyDescent="0.25">
      <c r="A16" s="396" t="s">
        <v>127</v>
      </c>
      <c r="B16" s="16">
        <v>901</v>
      </c>
      <c r="C16" s="20" t="s">
        <v>118</v>
      </c>
      <c r="D16" s="20" t="s">
        <v>120</v>
      </c>
      <c r="E16" s="20" t="s">
        <v>859</v>
      </c>
      <c r="F16" s="20" t="s">
        <v>128</v>
      </c>
      <c r="G16" s="397">
        <f>G17</f>
        <v>12081</v>
      </c>
      <c r="H16" s="397">
        <f>H17</f>
        <v>12081</v>
      </c>
      <c r="I16" s="192"/>
    </row>
    <row r="17" spans="1:12" ht="31.5" x14ac:dyDescent="0.25">
      <c r="A17" s="396" t="s">
        <v>129</v>
      </c>
      <c r="B17" s="16">
        <v>901</v>
      </c>
      <c r="C17" s="20" t="s">
        <v>118</v>
      </c>
      <c r="D17" s="20" t="s">
        <v>120</v>
      </c>
      <c r="E17" s="20" t="s">
        <v>859</v>
      </c>
      <c r="F17" s="20" t="s">
        <v>130</v>
      </c>
      <c r="G17" s="397">
        <v>12081</v>
      </c>
      <c r="H17" s="397">
        <f t="shared" ref="H17:H97" si="1">G17</f>
        <v>12081</v>
      </c>
      <c r="I17" s="192"/>
    </row>
    <row r="18" spans="1:12" ht="31.5" x14ac:dyDescent="0.25">
      <c r="A18" s="396" t="s">
        <v>131</v>
      </c>
      <c r="B18" s="16">
        <v>901</v>
      </c>
      <c r="C18" s="20" t="s">
        <v>118</v>
      </c>
      <c r="D18" s="20" t="s">
        <v>120</v>
      </c>
      <c r="E18" s="20" t="s">
        <v>859</v>
      </c>
      <c r="F18" s="20" t="s">
        <v>132</v>
      </c>
      <c r="G18" s="397">
        <f>G19</f>
        <v>977</v>
      </c>
      <c r="H18" s="397">
        <f>H19</f>
        <v>977</v>
      </c>
      <c r="I18" s="192"/>
    </row>
    <row r="19" spans="1:12" ht="31.5" x14ac:dyDescent="0.25">
      <c r="A19" s="396" t="s">
        <v>133</v>
      </c>
      <c r="B19" s="16">
        <v>901</v>
      </c>
      <c r="C19" s="20" t="s">
        <v>118</v>
      </c>
      <c r="D19" s="20" t="s">
        <v>120</v>
      </c>
      <c r="E19" s="20" t="s">
        <v>859</v>
      </c>
      <c r="F19" s="20" t="s">
        <v>134</v>
      </c>
      <c r="G19" s="397">
        <v>977</v>
      </c>
      <c r="H19" s="397">
        <f t="shared" si="1"/>
        <v>977</v>
      </c>
      <c r="I19" s="192"/>
    </row>
    <row r="20" spans="1:12" ht="15.75" x14ac:dyDescent="0.25">
      <c r="A20" s="396" t="s">
        <v>135</v>
      </c>
      <c r="B20" s="16">
        <v>901</v>
      </c>
      <c r="C20" s="20" t="s">
        <v>118</v>
      </c>
      <c r="D20" s="20" t="s">
        <v>120</v>
      </c>
      <c r="E20" s="20" t="s">
        <v>859</v>
      </c>
      <c r="F20" s="20" t="s">
        <v>136</v>
      </c>
      <c r="G20" s="397">
        <f>G21</f>
        <v>28</v>
      </c>
      <c r="H20" s="397">
        <f>H21</f>
        <v>28</v>
      </c>
      <c r="I20" s="192"/>
    </row>
    <row r="21" spans="1:12" ht="15.75" x14ac:dyDescent="0.25">
      <c r="A21" s="396" t="s">
        <v>568</v>
      </c>
      <c r="B21" s="16">
        <v>901</v>
      </c>
      <c r="C21" s="20" t="s">
        <v>118</v>
      </c>
      <c r="D21" s="20" t="s">
        <v>120</v>
      </c>
      <c r="E21" s="20" t="s">
        <v>859</v>
      </c>
      <c r="F21" s="20" t="s">
        <v>138</v>
      </c>
      <c r="G21" s="397">
        <v>28</v>
      </c>
      <c r="H21" s="397">
        <v>28</v>
      </c>
      <c r="I21" s="192"/>
    </row>
    <row r="22" spans="1:12" ht="47.25" x14ac:dyDescent="0.25">
      <c r="A22" s="396" t="s">
        <v>838</v>
      </c>
      <c r="B22" s="16">
        <v>901</v>
      </c>
      <c r="C22" s="20" t="s">
        <v>118</v>
      </c>
      <c r="D22" s="20" t="s">
        <v>120</v>
      </c>
      <c r="E22" s="20" t="s">
        <v>861</v>
      </c>
      <c r="F22" s="20"/>
      <c r="G22" s="397">
        <f>G23</f>
        <v>420</v>
      </c>
      <c r="H22" s="397">
        <f>H23</f>
        <v>420</v>
      </c>
      <c r="I22" s="192"/>
    </row>
    <row r="23" spans="1:12" ht="78.75" x14ac:dyDescent="0.25">
      <c r="A23" s="396" t="s">
        <v>127</v>
      </c>
      <c r="B23" s="16">
        <v>901</v>
      </c>
      <c r="C23" s="20" t="s">
        <v>118</v>
      </c>
      <c r="D23" s="20" t="s">
        <v>120</v>
      </c>
      <c r="E23" s="20" t="s">
        <v>861</v>
      </c>
      <c r="F23" s="20" t="s">
        <v>128</v>
      </c>
      <c r="G23" s="397">
        <f>G24</f>
        <v>420</v>
      </c>
      <c r="H23" s="397">
        <f>H24</f>
        <v>420</v>
      </c>
      <c r="I23" s="192"/>
    </row>
    <row r="24" spans="1:12" ht="31.5" x14ac:dyDescent="0.25">
      <c r="A24" s="396" t="s">
        <v>129</v>
      </c>
      <c r="B24" s="16">
        <v>901</v>
      </c>
      <c r="C24" s="20" t="s">
        <v>118</v>
      </c>
      <c r="D24" s="20" t="s">
        <v>120</v>
      </c>
      <c r="E24" s="20" t="s">
        <v>861</v>
      </c>
      <c r="F24" s="20" t="s">
        <v>130</v>
      </c>
      <c r="G24" s="397">
        <v>420</v>
      </c>
      <c r="H24" s="397">
        <v>420</v>
      </c>
      <c r="I24" s="192"/>
    </row>
    <row r="25" spans="1:12" s="191" customFormat="1" ht="15.75" hidden="1" x14ac:dyDescent="0.25">
      <c r="A25" s="394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393">
        <f t="shared" ref="G25:H29" si="2">G26</f>
        <v>0</v>
      </c>
      <c r="H25" s="393">
        <f t="shared" si="2"/>
        <v>0</v>
      </c>
      <c r="I25" s="192"/>
    </row>
    <row r="26" spans="1:12" s="191" customFormat="1" ht="15.75" hidden="1" x14ac:dyDescent="0.25">
      <c r="A26" s="394" t="s">
        <v>141</v>
      </c>
      <c r="B26" s="19">
        <v>901</v>
      </c>
      <c r="C26" s="24" t="s">
        <v>118</v>
      </c>
      <c r="D26" s="24" t="s">
        <v>140</v>
      </c>
      <c r="E26" s="24" t="s">
        <v>865</v>
      </c>
      <c r="F26" s="24"/>
      <c r="G26" s="393">
        <f t="shared" si="2"/>
        <v>0</v>
      </c>
      <c r="H26" s="393">
        <f t="shared" si="2"/>
        <v>0</v>
      </c>
      <c r="I26" s="192"/>
    </row>
    <row r="27" spans="1:12" s="191" customFormat="1" ht="31.5" hidden="1" x14ac:dyDescent="0.25">
      <c r="A27" s="394" t="s">
        <v>869</v>
      </c>
      <c r="B27" s="19">
        <v>901</v>
      </c>
      <c r="C27" s="24" t="s">
        <v>118</v>
      </c>
      <c r="D27" s="24" t="s">
        <v>140</v>
      </c>
      <c r="E27" s="24" t="s">
        <v>864</v>
      </c>
      <c r="F27" s="24"/>
      <c r="G27" s="393">
        <f t="shared" si="2"/>
        <v>0</v>
      </c>
      <c r="H27" s="393">
        <f t="shared" si="2"/>
        <v>0</v>
      </c>
      <c r="I27" s="192"/>
    </row>
    <row r="28" spans="1:12" s="191" customFormat="1" ht="15.75" hidden="1" x14ac:dyDescent="0.25">
      <c r="A28" s="396" t="s">
        <v>1135</v>
      </c>
      <c r="B28" s="16">
        <v>901</v>
      </c>
      <c r="C28" s="20" t="s">
        <v>118</v>
      </c>
      <c r="D28" s="20" t="s">
        <v>140</v>
      </c>
      <c r="E28" s="20" t="s">
        <v>1136</v>
      </c>
      <c r="F28" s="20"/>
      <c r="G28" s="397">
        <f t="shared" si="2"/>
        <v>0</v>
      </c>
      <c r="H28" s="397">
        <f t="shared" si="2"/>
        <v>0</v>
      </c>
      <c r="I28" s="192"/>
    </row>
    <row r="29" spans="1:12" s="191" customFormat="1" ht="15.75" hidden="1" x14ac:dyDescent="0.25">
      <c r="A29" s="396" t="s">
        <v>135</v>
      </c>
      <c r="B29" s="16">
        <v>901</v>
      </c>
      <c r="C29" s="20" t="s">
        <v>118</v>
      </c>
      <c r="D29" s="20" t="s">
        <v>140</v>
      </c>
      <c r="E29" s="20" t="s">
        <v>1136</v>
      </c>
      <c r="F29" s="20" t="s">
        <v>145</v>
      </c>
      <c r="G29" s="397">
        <f>G30</f>
        <v>0</v>
      </c>
      <c r="H29" s="397">
        <f t="shared" si="2"/>
        <v>0</v>
      </c>
      <c r="I29" s="192"/>
    </row>
    <row r="30" spans="1:12" s="191" customFormat="1" ht="15.75" hidden="1" x14ac:dyDescent="0.25">
      <c r="A30" s="396" t="s">
        <v>1135</v>
      </c>
      <c r="B30" s="16">
        <v>901</v>
      </c>
      <c r="C30" s="20" t="s">
        <v>118</v>
      </c>
      <c r="D30" s="20" t="s">
        <v>140</v>
      </c>
      <c r="E30" s="20" t="s">
        <v>1136</v>
      </c>
      <c r="F30" s="20" t="s">
        <v>1137</v>
      </c>
      <c r="G30" s="397">
        <v>0</v>
      </c>
      <c r="H30" s="397">
        <v>0</v>
      </c>
      <c r="I30" s="192"/>
      <c r="L30" s="191" t="s">
        <v>1292</v>
      </c>
    </row>
    <row r="31" spans="1:12" ht="21.75" customHeight="1" x14ac:dyDescent="0.25">
      <c r="A31" s="391" t="s">
        <v>148</v>
      </c>
      <c r="B31" s="19">
        <v>902</v>
      </c>
      <c r="C31" s="20"/>
      <c r="D31" s="20"/>
      <c r="E31" s="20"/>
      <c r="F31" s="20"/>
      <c r="G31" s="393">
        <f>G32+G172+G191+G218+G165</f>
        <v>79272.719999999987</v>
      </c>
      <c r="H31" s="393">
        <f>H32+H172+H191+H218+H165</f>
        <v>66093.67</v>
      </c>
      <c r="I31" s="192"/>
    </row>
    <row r="32" spans="1:12" ht="15.75" x14ac:dyDescent="0.25">
      <c r="A32" s="394" t="s">
        <v>117</v>
      </c>
      <c r="B32" s="19">
        <v>902</v>
      </c>
      <c r="C32" s="24" t="s">
        <v>118</v>
      </c>
      <c r="D32" s="20"/>
      <c r="E32" s="20"/>
      <c r="F32" s="20"/>
      <c r="G32" s="393">
        <f>G52+G113+G130+G122+G33</f>
        <v>57018.719999999994</v>
      </c>
      <c r="H32" s="393">
        <f>H52+H113+H130+H122+H33</f>
        <v>43873.07</v>
      </c>
      <c r="I32" s="192"/>
    </row>
    <row r="33" spans="1:9" s="191" customFormat="1" ht="47.25" x14ac:dyDescent="0.25">
      <c r="A33" s="394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393">
        <f>G34+G44</f>
        <v>4867.3999999999996</v>
      </c>
      <c r="H33" s="393">
        <f>H34+H44</f>
        <v>4867.3999999999996</v>
      </c>
      <c r="I33" s="192"/>
    </row>
    <row r="34" spans="1:9" s="191" customFormat="1" ht="31.5" x14ac:dyDescent="0.25">
      <c r="A34" s="394" t="s">
        <v>916</v>
      </c>
      <c r="B34" s="19">
        <v>902</v>
      </c>
      <c r="C34" s="24" t="s">
        <v>118</v>
      </c>
      <c r="D34" s="24" t="s">
        <v>213</v>
      </c>
      <c r="E34" s="24" t="s">
        <v>857</v>
      </c>
      <c r="F34" s="20"/>
      <c r="G34" s="393">
        <f>G35</f>
        <v>4826.8999999999996</v>
      </c>
      <c r="H34" s="393">
        <f>H35</f>
        <v>4826.8999999999996</v>
      </c>
      <c r="I34" s="192"/>
    </row>
    <row r="35" spans="1:9" s="191" customFormat="1" ht="15.75" x14ac:dyDescent="0.25">
      <c r="A35" s="394" t="s">
        <v>917</v>
      </c>
      <c r="B35" s="19">
        <v>902</v>
      </c>
      <c r="C35" s="24" t="s">
        <v>118</v>
      </c>
      <c r="D35" s="24" t="s">
        <v>213</v>
      </c>
      <c r="E35" s="24" t="s">
        <v>858</v>
      </c>
      <c r="F35" s="20"/>
      <c r="G35" s="393">
        <f>G36+G41</f>
        <v>4826.8999999999996</v>
      </c>
      <c r="H35" s="393">
        <f>H36+H41</f>
        <v>4826.8999999999996</v>
      </c>
      <c r="I35" s="192"/>
    </row>
    <row r="36" spans="1:9" s="191" customFormat="1" ht="31.5" x14ac:dyDescent="0.25">
      <c r="A36" s="396" t="s">
        <v>576</v>
      </c>
      <c r="B36" s="16">
        <v>902</v>
      </c>
      <c r="C36" s="20" t="s">
        <v>118</v>
      </c>
      <c r="D36" s="20" t="s">
        <v>213</v>
      </c>
      <c r="E36" s="20" t="s">
        <v>1328</v>
      </c>
      <c r="F36" s="20"/>
      <c r="G36" s="397">
        <f>G37+G39</f>
        <v>4826.8999999999996</v>
      </c>
      <c r="H36" s="397">
        <f>H37+H39</f>
        <v>4826.8999999999996</v>
      </c>
      <c r="I36" s="192"/>
    </row>
    <row r="37" spans="1:9" s="191" customFormat="1" ht="78.75" x14ac:dyDescent="0.25">
      <c r="A37" s="396" t="s">
        <v>127</v>
      </c>
      <c r="B37" s="16">
        <v>902</v>
      </c>
      <c r="C37" s="20" t="s">
        <v>118</v>
      </c>
      <c r="D37" s="20" t="s">
        <v>213</v>
      </c>
      <c r="E37" s="20" t="s">
        <v>1328</v>
      </c>
      <c r="F37" s="20" t="s">
        <v>128</v>
      </c>
      <c r="G37" s="397">
        <f>G38</f>
        <v>4736.8999999999996</v>
      </c>
      <c r="H37" s="397">
        <f>H38</f>
        <v>4736.8999999999996</v>
      </c>
      <c r="I37" s="192"/>
    </row>
    <row r="38" spans="1:9" s="191" customFormat="1" ht="31.5" x14ac:dyDescent="0.25">
      <c r="A38" s="396" t="s">
        <v>129</v>
      </c>
      <c r="B38" s="16">
        <v>902</v>
      </c>
      <c r="C38" s="20" t="s">
        <v>118</v>
      </c>
      <c r="D38" s="20" t="s">
        <v>213</v>
      </c>
      <c r="E38" s="20" t="s">
        <v>1328</v>
      </c>
      <c r="F38" s="20" t="s">
        <v>130</v>
      </c>
      <c r="G38" s="27">
        <v>4736.8999999999996</v>
      </c>
      <c r="H38" s="397">
        <f>G38</f>
        <v>4736.8999999999996</v>
      </c>
      <c r="I38" s="192"/>
    </row>
    <row r="39" spans="1:9" s="191" customFormat="1" ht="31.5" x14ac:dyDescent="0.25">
      <c r="A39" s="396" t="s">
        <v>198</v>
      </c>
      <c r="B39" s="16">
        <v>902</v>
      </c>
      <c r="C39" s="20" t="s">
        <v>118</v>
      </c>
      <c r="D39" s="20" t="s">
        <v>213</v>
      </c>
      <c r="E39" s="20" t="s">
        <v>1328</v>
      </c>
      <c r="F39" s="20" t="s">
        <v>132</v>
      </c>
      <c r="G39" s="397">
        <f>G40</f>
        <v>90</v>
      </c>
      <c r="H39" s="397">
        <f>H40</f>
        <v>90</v>
      </c>
      <c r="I39" s="192"/>
    </row>
    <row r="40" spans="1:9" s="191" customFormat="1" ht="32.65" customHeight="1" x14ac:dyDescent="0.25">
      <c r="A40" s="396" t="s">
        <v>133</v>
      </c>
      <c r="B40" s="16">
        <v>902</v>
      </c>
      <c r="C40" s="20" t="s">
        <v>118</v>
      </c>
      <c r="D40" s="20" t="s">
        <v>213</v>
      </c>
      <c r="E40" s="20" t="s">
        <v>1328</v>
      </c>
      <c r="F40" s="20" t="s">
        <v>134</v>
      </c>
      <c r="G40" s="397">
        <v>90</v>
      </c>
      <c r="H40" s="397">
        <f>G40</f>
        <v>90</v>
      </c>
      <c r="I40" s="192"/>
    </row>
    <row r="41" spans="1:9" s="191" customFormat="1" ht="47.25" hidden="1" x14ac:dyDescent="0.25">
      <c r="A41" s="396" t="s">
        <v>838</v>
      </c>
      <c r="B41" s="16">
        <v>902</v>
      </c>
      <c r="C41" s="20" t="s">
        <v>118</v>
      </c>
      <c r="D41" s="20" t="s">
        <v>213</v>
      </c>
      <c r="E41" s="20" t="s">
        <v>861</v>
      </c>
      <c r="F41" s="20"/>
      <c r="G41" s="397">
        <f>G42</f>
        <v>0</v>
      </c>
      <c r="H41" s="397">
        <f>G41</f>
        <v>0</v>
      </c>
      <c r="I41" s="192"/>
    </row>
    <row r="42" spans="1:9" s="191" customFormat="1" ht="78.75" hidden="1" x14ac:dyDescent="0.25">
      <c r="A42" s="396" t="s">
        <v>127</v>
      </c>
      <c r="B42" s="16">
        <v>902</v>
      </c>
      <c r="C42" s="20" t="s">
        <v>118</v>
      </c>
      <c r="D42" s="20" t="s">
        <v>213</v>
      </c>
      <c r="E42" s="20" t="s">
        <v>861</v>
      </c>
      <c r="F42" s="20" t="s">
        <v>128</v>
      </c>
      <c r="G42" s="397">
        <f>G43</f>
        <v>0</v>
      </c>
      <c r="H42" s="397">
        <f>G42</f>
        <v>0</v>
      </c>
      <c r="I42" s="192"/>
    </row>
    <row r="43" spans="1:9" s="191" customFormat="1" ht="31.5" hidden="1" x14ac:dyDescent="0.25">
      <c r="A43" s="396" t="s">
        <v>129</v>
      </c>
      <c r="B43" s="16">
        <v>902</v>
      </c>
      <c r="C43" s="20" t="s">
        <v>118</v>
      </c>
      <c r="D43" s="20" t="s">
        <v>213</v>
      </c>
      <c r="E43" s="20" t="s">
        <v>861</v>
      </c>
      <c r="F43" s="20" t="s">
        <v>130</v>
      </c>
      <c r="G43" s="397">
        <f>42-42</f>
        <v>0</v>
      </c>
      <c r="H43" s="397">
        <f>G43</f>
        <v>0</v>
      </c>
      <c r="I43" s="192"/>
    </row>
    <row r="44" spans="1:9" s="191" customFormat="1" ht="47.25" x14ac:dyDescent="0.25">
      <c r="A44" s="394" t="s">
        <v>1363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393">
        <f>G45</f>
        <v>40.5</v>
      </c>
      <c r="H44" s="393">
        <f>H45</f>
        <v>40.5</v>
      </c>
      <c r="I44" s="192"/>
    </row>
    <row r="45" spans="1:9" s="191" customFormat="1" ht="63" x14ac:dyDescent="0.25">
      <c r="A45" s="204" t="s">
        <v>842</v>
      </c>
      <c r="B45" s="19">
        <v>902</v>
      </c>
      <c r="C45" s="24" t="s">
        <v>118</v>
      </c>
      <c r="D45" s="24" t="s">
        <v>213</v>
      </c>
      <c r="E45" s="7" t="s">
        <v>849</v>
      </c>
      <c r="F45" s="24"/>
      <c r="G45" s="393">
        <f>G46+G49</f>
        <v>40.5</v>
      </c>
      <c r="H45" s="393">
        <f>H46+H49</f>
        <v>40.5</v>
      </c>
      <c r="I45" s="192"/>
    </row>
    <row r="46" spans="1:9" s="191" customFormat="1" ht="47.25" x14ac:dyDescent="0.25">
      <c r="A46" s="31" t="s">
        <v>1095</v>
      </c>
      <c r="B46" s="16">
        <v>902</v>
      </c>
      <c r="C46" s="20" t="s">
        <v>118</v>
      </c>
      <c r="D46" s="20" t="s">
        <v>213</v>
      </c>
      <c r="E46" s="40" t="s">
        <v>992</v>
      </c>
      <c r="F46" s="20"/>
      <c r="G46" s="397">
        <f>G47</f>
        <v>40.5</v>
      </c>
      <c r="H46" s="397">
        <f>H47</f>
        <v>40.5</v>
      </c>
      <c r="I46" s="192"/>
    </row>
    <row r="47" spans="1:9" s="191" customFormat="1" ht="31.5" x14ac:dyDescent="0.25">
      <c r="A47" s="396" t="s">
        <v>131</v>
      </c>
      <c r="B47" s="16">
        <v>902</v>
      </c>
      <c r="C47" s="20" t="s">
        <v>118</v>
      </c>
      <c r="D47" s="20" t="s">
        <v>213</v>
      </c>
      <c r="E47" s="40" t="s">
        <v>992</v>
      </c>
      <c r="F47" s="20" t="s">
        <v>132</v>
      </c>
      <c r="G47" s="397">
        <f>G48</f>
        <v>40.5</v>
      </c>
      <c r="H47" s="397">
        <f>H48</f>
        <v>40.5</v>
      </c>
      <c r="I47" s="192"/>
    </row>
    <row r="48" spans="1:9" s="191" customFormat="1" ht="31.5" x14ac:dyDescent="0.25">
      <c r="A48" s="396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397">
        <f>0.5+40</f>
        <v>40.5</v>
      </c>
      <c r="H48" s="397">
        <f>G48</f>
        <v>40.5</v>
      </c>
      <c r="I48" s="192"/>
    </row>
    <row r="49" spans="1:9" s="191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991</v>
      </c>
      <c r="F49" s="20"/>
      <c r="G49" s="397">
        <f>G50</f>
        <v>0</v>
      </c>
      <c r="H49" s="397">
        <f>H50</f>
        <v>0</v>
      </c>
      <c r="I49" s="192"/>
    </row>
    <row r="50" spans="1:9" s="191" customFormat="1" ht="31.5" hidden="1" x14ac:dyDescent="0.25">
      <c r="A50" s="396" t="s">
        <v>131</v>
      </c>
      <c r="B50" s="16">
        <v>902</v>
      </c>
      <c r="C50" s="20" t="s">
        <v>118</v>
      </c>
      <c r="D50" s="20" t="s">
        <v>213</v>
      </c>
      <c r="E50" s="20" t="s">
        <v>991</v>
      </c>
      <c r="F50" s="20" t="s">
        <v>132</v>
      </c>
      <c r="G50" s="397">
        <f>G51</f>
        <v>0</v>
      </c>
      <c r="H50" s="397">
        <f>H51</f>
        <v>0</v>
      </c>
      <c r="I50" s="192"/>
    </row>
    <row r="51" spans="1:9" s="191" customFormat="1" ht="31.5" hidden="1" x14ac:dyDescent="0.25">
      <c r="A51" s="396" t="s">
        <v>133</v>
      </c>
      <c r="B51" s="16">
        <v>902</v>
      </c>
      <c r="C51" s="20" t="s">
        <v>118</v>
      </c>
      <c r="D51" s="20" t="s">
        <v>213</v>
      </c>
      <c r="E51" s="20" t="s">
        <v>991</v>
      </c>
      <c r="F51" s="20" t="s">
        <v>134</v>
      </c>
      <c r="G51" s="397"/>
      <c r="H51" s="397"/>
      <c r="I51" s="192"/>
    </row>
    <row r="52" spans="1:9" ht="63" x14ac:dyDescent="0.25">
      <c r="A52" s="394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393">
        <f>G53+G89</f>
        <v>44810.119999999995</v>
      </c>
      <c r="H52" s="393">
        <f>H53+H89</f>
        <v>31621.469999999998</v>
      </c>
      <c r="I52" s="192"/>
    </row>
    <row r="53" spans="1:9" ht="31.5" x14ac:dyDescent="0.25">
      <c r="A53" s="394" t="s">
        <v>916</v>
      </c>
      <c r="B53" s="19">
        <v>902</v>
      </c>
      <c r="C53" s="24" t="s">
        <v>118</v>
      </c>
      <c r="D53" s="24" t="s">
        <v>150</v>
      </c>
      <c r="E53" s="24" t="s">
        <v>857</v>
      </c>
      <c r="F53" s="24"/>
      <c r="G53" s="44">
        <f>G54+G70</f>
        <v>44126.619999999995</v>
      </c>
      <c r="H53" s="44">
        <f>H54+H70</f>
        <v>30937.969999999998</v>
      </c>
      <c r="I53" s="192"/>
    </row>
    <row r="54" spans="1:9" ht="15.75" x14ac:dyDescent="0.25">
      <c r="A54" s="394" t="s">
        <v>917</v>
      </c>
      <c r="B54" s="19">
        <v>902</v>
      </c>
      <c r="C54" s="24" t="s">
        <v>118</v>
      </c>
      <c r="D54" s="24" t="s">
        <v>150</v>
      </c>
      <c r="E54" s="24" t="s">
        <v>858</v>
      </c>
      <c r="F54" s="24"/>
      <c r="G54" s="44">
        <f>G55+G64+G67</f>
        <v>40818.1</v>
      </c>
      <c r="H54" s="44">
        <f>H55+H64+H67</f>
        <v>27844.92</v>
      </c>
      <c r="I54" s="192"/>
    </row>
    <row r="55" spans="1:9" ht="31.5" x14ac:dyDescent="0.25">
      <c r="A55" s="396" t="s">
        <v>896</v>
      </c>
      <c r="B55" s="16">
        <v>902</v>
      </c>
      <c r="C55" s="20" t="s">
        <v>118</v>
      </c>
      <c r="D55" s="20" t="s">
        <v>150</v>
      </c>
      <c r="E55" s="20" t="s">
        <v>859</v>
      </c>
      <c r="F55" s="20"/>
      <c r="G55" s="397">
        <f>G56+G58+G60+G62</f>
        <v>37155.699999999997</v>
      </c>
      <c r="H55" s="397">
        <f>H56+H58+H60+H62</f>
        <v>24182.519999999997</v>
      </c>
      <c r="I55" s="192"/>
    </row>
    <row r="56" spans="1:9" ht="78.75" x14ac:dyDescent="0.25">
      <c r="A56" s="396" t="s">
        <v>127</v>
      </c>
      <c r="B56" s="16">
        <v>902</v>
      </c>
      <c r="C56" s="20" t="s">
        <v>118</v>
      </c>
      <c r="D56" s="20" t="s">
        <v>150</v>
      </c>
      <c r="E56" s="20" t="s">
        <v>859</v>
      </c>
      <c r="F56" s="20" t="s">
        <v>128</v>
      </c>
      <c r="G56" s="397">
        <f>G57</f>
        <v>31521.3</v>
      </c>
      <c r="H56" s="397">
        <f>H57</f>
        <v>18548.12</v>
      </c>
      <c r="I56" s="192"/>
    </row>
    <row r="57" spans="1:9" ht="31.5" x14ac:dyDescent="0.25">
      <c r="A57" s="396" t="s">
        <v>129</v>
      </c>
      <c r="B57" s="16">
        <v>902</v>
      </c>
      <c r="C57" s="20" t="s">
        <v>118</v>
      </c>
      <c r="D57" s="20" t="s">
        <v>150</v>
      </c>
      <c r="E57" s="20" t="s">
        <v>859</v>
      </c>
      <c r="F57" s="20" t="s">
        <v>130</v>
      </c>
      <c r="G57" s="397">
        <v>31521.3</v>
      </c>
      <c r="H57" s="397">
        <f>44000-H9</f>
        <v>18548.12</v>
      </c>
      <c r="I57" s="192"/>
    </row>
    <row r="58" spans="1:9" ht="31.5" x14ac:dyDescent="0.25">
      <c r="A58" s="396" t="s">
        <v>131</v>
      </c>
      <c r="B58" s="16">
        <v>902</v>
      </c>
      <c r="C58" s="20" t="s">
        <v>118</v>
      </c>
      <c r="D58" s="20" t="s">
        <v>150</v>
      </c>
      <c r="E58" s="20" t="s">
        <v>859</v>
      </c>
      <c r="F58" s="20" t="s">
        <v>132</v>
      </c>
      <c r="G58" s="397">
        <f>G59</f>
        <v>5559.4</v>
      </c>
      <c r="H58" s="397">
        <f>H59</f>
        <v>5559.4</v>
      </c>
      <c r="I58" s="192"/>
    </row>
    <row r="59" spans="1:9" ht="31.5" x14ac:dyDescent="0.25">
      <c r="A59" s="396" t="s">
        <v>133</v>
      </c>
      <c r="B59" s="16">
        <v>902</v>
      </c>
      <c r="C59" s="20" t="s">
        <v>118</v>
      </c>
      <c r="D59" s="20" t="s">
        <v>150</v>
      </c>
      <c r="E59" s="20" t="s">
        <v>859</v>
      </c>
      <c r="F59" s="20" t="s">
        <v>134</v>
      </c>
      <c r="G59" s="397">
        <v>5559.4</v>
      </c>
      <c r="H59" s="397">
        <f>G59</f>
        <v>5559.4</v>
      </c>
      <c r="I59" s="192"/>
    </row>
    <row r="60" spans="1:9" ht="31.5" hidden="1" x14ac:dyDescent="0.25">
      <c r="A60" s="396" t="s">
        <v>248</v>
      </c>
      <c r="B60" s="16">
        <v>902</v>
      </c>
      <c r="C60" s="20" t="s">
        <v>118</v>
      </c>
      <c r="D60" s="20" t="s">
        <v>150</v>
      </c>
      <c r="E60" s="20" t="s">
        <v>859</v>
      </c>
      <c r="F60" s="20" t="s">
        <v>249</v>
      </c>
      <c r="G60" s="397">
        <f>G61</f>
        <v>0</v>
      </c>
      <c r="H60" s="397">
        <f>H61</f>
        <v>0</v>
      </c>
      <c r="I60" s="192"/>
    </row>
    <row r="61" spans="1:9" ht="31.5" hidden="1" x14ac:dyDescent="0.25">
      <c r="A61" s="396" t="s">
        <v>250</v>
      </c>
      <c r="B61" s="16">
        <v>902</v>
      </c>
      <c r="C61" s="20" t="s">
        <v>118</v>
      </c>
      <c r="D61" s="20" t="s">
        <v>150</v>
      </c>
      <c r="E61" s="20" t="s">
        <v>859</v>
      </c>
      <c r="F61" s="20" t="s">
        <v>251</v>
      </c>
      <c r="G61" s="397">
        <v>0</v>
      </c>
      <c r="H61" s="397">
        <f t="shared" si="1"/>
        <v>0</v>
      </c>
      <c r="I61" s="192"/>
    </row>
    <row r="62" spans="1:9" ht="15.75" x14ac:dyDescent="0.25">
      <c r="A62" s="396" t="s">
        <v>135</v>
      </c>
      <c r="B62" s="16">
        <v>902</v>
      </c>
      <c r="C62" s="20" t="s">
        <v>118</v>
      </c>
      <c r="D62" s="20" t="s">
        <v>150</v>
      </c>
      <c r="E62" s="20" t="s">
        <v>859</v>
      </c>
      <c r="F62" s="20" t="s">
        <v>145</v>
      </c>
      <c r="G62" s="397">
        <f>G63</f>
        <v>75</v>
      </c>
      <c r="H62" s="397">
        <f>H63</f>
        <v>75</v>
      </c>
      <c r="I62" s="192"/>
    </row>
    <row r="63" spans="1:9" ht="15.75" x14ac:dyDescent="0.25">
      <c r="A63" s="396" t="s">
        <v>568</v>
      </c>
      <c r="B63" s="16">
        <v>902</v>
      </c>
      <c r="C63" s="20" t="s">
        <v>118</v>
      </c>
      <c r="D63" s="20" t="s">
        <v>150</v>
      </c>
      <c r="E63" s="20" t="s">
        <v>859</v>
      </c>
      <c r="F63" s="20" t="s">
        <v>138</v>
      </c>
      <c r="G63" s="397">
        <v>75</v>
      </c>
      <c r="H63" s="397">
        <f t="shared" si="1"/>
        <v>75</v>
      </c>
      <c r="I63" s="192"/>
    </row>
    <row r="64" spans="1:9" ht="31.5" x14ac:dyDescent="0.25">
      <c r="A64" s="396" t="s">
        <v>839</v>
      </c>
      <c r="B64" s="16">
        <v>902</v>
      </c>
      <c r="C64" s="20" t="s">
        <v>118</v>
      </c>
      <c r="D64" s="20" t="s">
        <v>150</v>
      </c>
      <c r="E64" s="20" t="s">
        <v>860</v>
      </c>
      <c r="F64" s="20"/>
      <c r="G64" s="397">
        <f>G65</f>
        <v>2071.4</v>
      </c>
      <c r="H64" s="397">
        <f t="shared" si="1"/>
        <v>2071.4</v>
      </c>
      <c r="I64" s="192"/>
    </row>
    <row r="65" spans="1:13" ht="78.75" x14ac:dyDescent="0.25">
      <c r="A65" s="396" t="s">
        <v>127</v>
      </c>
      <c r="B65" s="16">
        <v>902</v>
      </c>
      <c r="C65" s="20" t="s">
        <v>118</v>
      </c>
      <c r="D65" s="20" t="s">
        <v>150</v>
      </c>
      <c r="E65" s="20" t="s">
        <v>860</v>
      </c>
      <c r="F65" s="20" t="s">
        <v>128</v>
      </c>
      <c r="G65" s="397">
        <f>G66</f>
        <v>2071.4</v>
      </c>
      <c r="H65" s="397">
        <f>H66</f>
        <v>2071.4</v>
      </c>
      <c r="I65" s="192"/>
    </row>
    <row r="66" spans="1:13" ht="31.5" x14ac:dyDescent="0.25">
      <c r="A66" s="396" t="s">
        <v>129</v>
      </c>
      <c r="B66" s="16">
        <v>902</v>
      </c>
      <c r="C66" s="20" t="s">
        <v>118</v>
      </c>
      <c r="D66" s="20" t="s">
        <v>150</v>
      </c>
      <c r="E66" s="20" t="s">
        <v>860</v>
      </c>
      <c r="F66" s="20" t="s">
        <v>130</v>
      </c>
      <c r="G66" s="397">
        <v>2071.4</v>
      </c>
      <c r="H66" s="397">
        <f t="shared" si="1"/>
        <v>2071.4</v>
      </c>
      <c r="I66" s="192"/>
    </row>
    <row r="67" spans="1:13" ht="47.25" x14ac:dyDescent="0.25">
      <c r="A67" s="396" t="s">
        <v>838</v>
      </c>
      <c r="B67" s="16">
        <v>902</v>
      </c>
      <c r="C67" s="20" t="s">
        <v>118</v>
      </c>
      <c r="D67" s="20" t="s">
        <v>150</v>
      </c>
      <c r="E67" s="20" t="s">
        <v>861</v>
      </c>
      <c r="F67" s="20"/>
      <c r="G67" s="397">
        <f>G68</f>
        <v>1591</v>
      </c>
      <c r="H67" s="397">
        <f>H68</f>
        <v>1591</v>
      </c>
      <c r="I67" s="192"/>
    </row>
    <row r="68" spans="1:13" ht="78.75" x14ac:dyDescent="0.25">
      <c r="A68" s="396" t="s">
        <v>127</v>
      </c>
      <c r="B68" s="16">
        <v>902</v>
      </c>
      <c r="C68" s="20" t="s">
        <v>118</v>
      </c>
      <c r="D68" s="20" t="s">
        <v>150</v>
      </c>
      <c r="E68" s="20" t="s">
        <v>861</v>
      </c>
      <c r="F68" s="20" t="s">
        <v>128</v>
      </c>
      <c r="G68" s="397">
        <f>G69</f>
        <v>1591</v>
      </c>
      <c r="H68" s="397">
        <f>H69</f>
        <v>1591</v>
      </c>
      <c r="I68" s="192"/>
    </row>
    <row r="69" spans="1:13" ht="31.5" x14ac:dyDescent="0.25">
      <c r="A69" s="396" t="s">
        <v>129</v>
      </c>
      <c r="B69" s="16">
        <v>902</v>
      </c>
      <c r="C69" s="20" t="s">
        <v>118</v>
      </c>
      <c r="D69" s="20" t="s">
        <v>150</v>
      </c>
      <c r="E69" s="20" t="s">
        <v>861</v>
      </c>
      <c r="F69" s="20" t="s">
        <v>130</v>
      </c>
      <c r="G69" s="397">
        <v>1591</v>
      </c>
      <c r="H69" s="397">
        <f t="shared" si="1"/>
        <v>1591</v>
      </c>
      <c r="I69" s="192"/>
    </row>
    <row r="70" spans="1:13" ht="31.5" x14ac:dyDescent="0.25">
      <c r="A70" s="394" t="s">
        <v>884</v>
      </c>
      <c r="B70" s="19">
        <v>902</v>
      </c>
      <c r="C70" s="24" t="s">
        <v>118</v>
      </c>
      <c r="D70" s="24" t="s">
        <v>150</v>
      </c>
      <c r="E70" s="24" t="s">
        <v>862</v>
      </c>
      <c r="F70" s="24"/>
      <c r="G70" s="393">
        <f>G71+G74+G79+G84</f>
        <v>3308.5199999999995</v>
      </c>
      <c r="H70" s="393">
        <f>H71+H74+H79+H84</f>
        <v>3093.05</v>
      </c>
      <c r="I70" s="192"/>
    </row>
    <row r="71" spans="1:13" ht="47.25" hidden="1" x14ac:dyDescent="0.25">
      <c r="A71" s="396" t="s">
        <v>779</v>
      </c>
      <c r="B71" s="16">
        <v>902</v>
      </c>
      <c r="C71" s="20" t="s">
        <v>118</v>
      </c>
      <c r="D71" s="20" t="s">
        <v>150</v>
      </c>
      <c r="E71" s="20" t="s">
        <v>918</v>
      </c>
      <c r="F71" s="24"/>
      <c r="G71" s="397">
        <f>G72</f>
        <v>0</v>
      </c>
      <c r="H71" s="397">
        <f>H72</f>
        <v>0</v>
      </c>
      <c r="I71" s="192"/>
    </row>
    <row r="72" spans="1:13" ht="31.5" hidden="1" x14ac:dyDescent="0.25">
      <c r="A72" s="396" t="s">
        <v>131</v>
      </c>
      <c r="B72" s="16">
        <v>902</v>
      </c>
      <c r="C72" s="20" t="s">
        <v>118</v>
      </c>
      <c r="D72" s="20" t="s">
        <v>150</v>
      </c>
      <c r="E72" s="20" t="s">
        <v>918</v>
      </c>
      <c r="F72" s="20" t="s">
        <v>132</v>
      </c>
      <c r="G72" s="397">
        <f>G73</f>
        <v>0</v>
      </c>
      <c r="H72" s="397">
        <f>H73</f>
        <v>0</v>
      </c>
      <c r="I72" s="192"/>
    </row>
    <row r="73" spans="1:13" ht="31.5" hidden="1" x14ac:dyDescent="0.25">
      <c r="A73" s="396" t="s">
        <v>133</v>
      </c>
      <c r="B73" s="16">
        <v>902</v>
      </c>
      <c r="C73" s="20" t="s">
        <v>118</v>
      </c>
      <c r="D73" s="20" t="s">
        <v>150</v>
      </c>
      <c r="E73" s="20" t="s">
        <v>918</v>
      </c>
      <c r="F73" s="20" t="s">
        <v>134</v>
      </c>
      <c r="G73" s="337">
        <v>0</v>
      </c>
      <c r="H73" s="337">
        <v>0</v>
      </c>
      <c r="I73" s="192"/>
    </row>
    <row r="74" spans="1:13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919</v>
      </c>
      <c r="F74" s="20"/>
      <c r="G74" s="397">
        <f>G75+G77</f>
        <v>563.12</v>
      </c>
      <c r="H74" s="397">
        <f>H75+H77</f>
        <v>347.65</v>
      </c>
      <c r="I74" s="192"/>
    </row>
    <row r="75" spans="1:13" ht="78.75" x14ac:dyDescent="0.25">
      <c r="A75" s="396" t="s">
        <v>127</v>
      </c>
      <c r="B75" s="16">
        <v>902</v>
      </c>
      <c r="C75" s="20" t="s">
        <v>118</v>
      </c>
      <c r="D75" s="20" t="s">
        <v>150</v>
      </c>
      <c r="E75" s="20" t="s">
        <v>919</v>
      </c>
      <c r="F75" s="20" t="s">
        <v>128</v>
      </c>
      <c r="G75" s="397">
        <f>G76</f>
        <v>563.12</v>
      </c>
      <c r="H75" s="397">
        <f>H76</f>
        <v>347.65</v>
      </c>
      <c r="I75" s="192"/>
    </row>
    <row r="76" spans="1:13" ht="31.5" x14ac:dyDescent="0.25">
      <c r="A76" s="396" t="s">
        <v>129</v>
      </c>
      <c r="B76" s="16">
        <v>902</v>
      </c>
      <c r="C76" s="20" t="s">
        <v>118</v>
      </c>
      <c r="D76" s="20" t="s">
        <v>150</v>
      </c>
      <c r="E76" s="20" t="s">
        <v>919</v>
      </c>
      <c r="F76" s="20" t="s">
        <v>130</v>
      </c>
      <c r="G76" s="397">
        <f>563.2-0.08</f>
        <v>563.12</v>
      </c>
      <c r="H76" s="397">
        <f>347.7-0.05</f>
        <v>347.65</v>
      </c>
      <c r="I76" s="192"/>
      <c r="L76">
        <v>-0.08</v>
      </c>
      <c r="M76">
        <v>-0.05</v>
      </c>
    </row>
    <row r="77" spans="1:13" ht="31.5" hidden="1" x14ac:dyDescent="0.25">
      <c r="A77" s="396" t="s">
        <v>131</v>
      </c>
      <c r="B77" s="16">
        <v>902</v>
      </c>
      <c r="C77" s="20" t="s">
        <v>118</v>
      </c>
      <c r="D77" s="20" t="s">
        <v>150</v>
      </c>
      <c r="E77" s="20" t="s">
        <v>919</v>
      </c>
      <c r="F77" s="20" t="s">
        <v>132</v>
      </c>
      <c r="G77" s="397">
        <f>G78</f>
        <v>0</v>
      </c>
      <c r="H77" s="397">
        <f>H78</f>
        <v>0</v>
      </c>
      <c r="I77" s="192"/>
    </row>
    <row r="78" spans="1:13" ht="31.5" hidden="1" x14ac:dyDescent="0.25">
      <c r="A78" s="396" t="s">
        <v>133</v>
      </c>
      <c r="B78" s="16">
        <v>902</v>
      </c>
      <c r="C78" s="20" t="s">
        <v>118</v>
      </c>
      <c r="D78" s="20" t="s">
        <v>150</v>
      </c>
      <c r="E78" s="20" t="s">
        <v>919</v>
      </c>
      <c r="F78" s="20" t="s">
        <v>134</v>
      </c>
      <c r="G78" s="337">
        <v>0</v>
      </c>
      <c r="H78" s="337">
        <v>0</v>
      </c>
      <c r="I78" s="192"/>
    </row>
    <row r="79" spans="1:13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1028</v>
      </c>
      <c r="F79" s="20"/>
      <c r="G79" s="397">
        <f>G80+G82</f>
        <v>1411.1</v>
      </c>
      <c r="H79" s="397">
        <f>H80+H82</f>
        <v>1411.1</v>
      </c>
      <c r="I79" s="192"/>
    </row>
    <row r="80" spans="1:13" ht="78.75" x14ac:dyDescent="0.25">
      <c r="A80" s="396" t="s">
        <v>127</v>
      </c>
      <c r="B80" s="16">
        <v>902</v>
      </c>
      <c r="C80" s="20" t="s">
        <v>118</v>
      </c>
      <c r="D80" s="20" t="s">
        <v>150</v>
      </c>
      <c r="E80" s="20" t="s">
        <v>1028</v>
      </c>
      <c r="F80" s="20" t="s">
        <v>128</v>
      </c>
      <c r="G80" s="397">
        <f>G81</f>
        <v>1372.1</v>
      </c>
      <c r="H80" s="397">
        <f>H81</f>
        <v>1372.1</v>
      </c>
      <c r="I80" s="192"/>
    </row>
    <row r="81" spans="1:9" ht="31.5" x14ac:dyDescent="0.25">
      <c r="A81" s="396" t="s">
        <v>129</v>
      </c>
      <c r="B81" s="16">
        <v>902</v>
      </c>
      <c r="C81" s="20" t="s">
        <v>118</v>
      </c>
      <c r="D81" s="20" t="s">
        <v>150</v>
      </c>
      <c r="E81" s="20" t="s">
        <v>1028</v>
      </c>
      <c r="F81" s="20" t="s">
        <v>130</v>
      </c>
      <c r="G81" s="397">
        <f>1372.1</f>
        <v>1372.1</v>
      </c>
      <c r="H81" s="397">
        <f t="shared" si="1"/>
        <v>1372.1</v>
      </c>
      <c r="I81" s="192"/>
    </row>
    <row r="82" spans="1:9" ht="31.5" x14ac:dyDescent="0.25">
      <c r="A82" s="396" t="s">
        <v>131</v>
      </c>
      <c r="B82" s="16">
        <v>902</v>
      </c>
      <c r="C82" s="20" t="s">
        <v>118</v>
      </c>
      <c r="D82" s="20" t="s">
        <v>150</v>
      </c>
      <c r="E82" s="20" t="s">
        <v>1028</v>
      </c>
      <c r="F82" s="20" t="s">
        <v>132</v>
      </c>
      <c r="G82" s="397">
        <f>G83</f>
        <v>39</v>
      </c>
      <c r="H82" s="397">
        <f>H83</f>
        <v>39</v>
      </c>
      <c r="I82" s="192"/>
    </row>
    <row r="83" spans="1:9" ht="31.5" x14ac:dyDescent="0.25">
      <c r="A83" s="396" t="s">
        <v>133</v>
      </c>
      <c r="B83" s="16">
        <v>902</v>
      </c>
      <c r="C83" s="20" t="s">
        <v>118</v>
      </c>
      <c r="D83" s="20" t="s">
        <v>150</v>
      </c>
      <c r="E83" s="20" t="s">
        <v>1028</v>
      </c>
      <c r="F83" s="20" t="s">
        <v>134</v>
      </c>
      <c r="G83" s="397">
        <f>61.2-19.5-2.7</f>
        <v>39</v>
      </c>
      <c r="H83" s="397">
        <f t="shared" si="1"/>
        <v>39</v>
      </c>
      <c r="I83" s="192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920</v>
      </c>
      <c r="F84" s="20"/>
      <c r="G84" s="397">
        <f>G85+G87</f>
        <v>1334.3</v>
      </c>
      <c r="H84" s="397">
        <f>H85+H87</f>
        <v>1334.3</v>
      </c>
      <c r="I84" s="192"/>
    </row>
    <row r="85" spans="1:9" ht="78.75" x14ac:dyDescent="0.25">
      <c r="A85" s="396" t="s">
        <v>127</v>
      </c>
      <c r="B85" s="16">
        <v>902</v>
      </c>
      <c r="C85" s="20" t="s">
        <v>118</v>
      </c>
      <c r="D85" s="20" t="s">
        <v>150</v>
      </c>
      <c r="E85" s="20" t="s">
        <v>920</v>
      </c>
      <c r="F85" s="20" t="s">
        <v>128</v>
      </c>
      <c r="G85" s="397">
        <f>G86</f>
        <v>1300.3</v>
      </c>
      <c r="H85" s="397">
        <f>H86</f>
        <v>1300.3</v>
      </c>
      <c r="I85" s="192"/>
    </row>
    <row r="86" spans="1:9" ht="31.5" x14ac:dyDescent="0.25">
      <c r="A86" s="396" t="s">
        <v>129</v>
      </c>
      <c r="B86" s="16">
        <v>902</v>
      </c>
      <c r="C86" s="20" t="s">
        <v>118</v>
      </c>
      <c r="D86" s="20" t="s">
        <v>150</v>
      </c>
      <c r="E86" s="20" t="s">
        <v>920</v>
      </c>
      <c r="F86" s="20" t="s">
        <v>130</v>
      </c>
      <c r="G86" s="397">
        <v>1300.3</v>
      </c>
      <c r="H86" s="397">
        <f t="shared" si="1"/>
        <v>1300.3</v>
      </c>
      <c r="I86" s="192"/>
    </row>
    <row r="87" spans="1:9" ht="31.5" x14ac:dyDescent="0.25">
      <c r="A87" s="396" t="s">
        <v>198</v>
      </c>
      <c r="B87" s="16">
        <v>902</v>
      </c>
      <c r="C87" s="20" t="s">
        <v>118</v>
      </c>
      <c r="D87" s="20" t="s">
        <v>150</v>
      </c>
      <c r="E87" s="20" t="s">
        <v>920</v>
      </c>
      <c r="F87" s="20" t="s">
        <v>132</v>
      </c>
      <c r="G87" s="397">
        <f>G88</f>
        <v>34</v>
      </c>
      <c r="H87" s="397">
        <f>H88</f>
        <v>34</v>
      </c>
      <c r="I87" s="192"/>
    </row>
    <row r="88" spans="1:9" ht="31.5" x14ac:dyDescent="0.25">
      <c r="A88" s="396" t="s">
        <v>133</v>
      </c>
      <c r="B88" s="16">
        <v>902</v>
      </c>
      <c r="C88" s="20" t="s">
        <v>118</v>
      </c>
      <c r="D88" s="20" t="s">
        <v>150</v>
      </c>
      <c r="E88" s="20" t="s">
        <v>920</v>
      </c>
      <c r="F88" s="20" t="s">
        <v>134</v>
      </c>
      <c r="G88" s="397">
        <v>34</v>
      </c>
      <c r="H88" s="397">
        <f t="shared" si="1"/>
        <v>34</v>
      </c>
      <c r="I88" s="192"/>
    </row>
    <row r="89" spans="1:9" ht="47.25" x14ac:dyDescent="0.25">
      <c r="A89" s="394" t="s">
        <v>1363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393">
        <f>G90+G94+G106</f>
        <v>683.5</v>
      </c>
      <c r="H89" s="393">
        <f>H90+H94+H106</f>
        <v>683.5</v>
      </c>
      <c r="I89" s="192"/>
    </row>
    <row r="90" spans="1:9" ht="63" x14ac:dyDescent="0.25">
      <c r="A90" s="269" t="s">
        <v>1338</v>
      </c>
      <c r="B90" s="19">
        <v>902</v>
      </c>
      <c r="C90" s="24" t="s">
        <v>118</v>
      </c>
      <c r="D90" s="24" t="s">
        <v>150</v>
      </c>
      <c r="E90" s="7" t="s">
        <v>848</v>
      </c>
      <c r="F90" s="24"/>
      <c r="G90" s="393">
        <f t="shared" ref="G90:H92" si="3">G91</f>
        <v>606</v>
      </c>
      <c r="H90" s="393">
        <f t="shared" si="3"/>
        <v>606</v>
      </c>
      <c r="I90" s="192"/>
    </row>
    <row r="91" spans="1:9" ht="47.25" x14ac:dyDescent="0.25">
      <c r="A91" s="29" t="s">
        <v>1306</v>
      </c>
      <c r="B91" s="16">
        <v>902</v>
      </c>
      <c r="C91" s="20" t="s">
        <v>118</v>
      </c>
      <c r="D91" s="20" t="s">
        <v>150</v>
      </c>
      <c r="E91" s="40" t="s">
        <v>840</v>
      </c>
      <c r="F91" s="20"/>
      <c r="G91" s="397">
        <f t="shared" si="3"/>
        <v>606</v>
      </c>
      <c r="H91" s="397">
        <f t="shared" si="3"/>
        <v>606</v>
      </c>
      <c r="I91" s="192"/>
    </row>
    <row r="92" spans="1:9" ht="31.5" x14ac:dyDescent="0.25">
      <c r="A92" s="396" t="s">
        <v>131</v>
      </c>
      <c r="B92" s="16">
        <v>902</v>
      </c>
      <c r="C92" s="20" t="s">
        <v>118</v>
      </c>
      <c r="D92" s="20" t="s">
        <v>150</v>
      </c>
      <c r="E92" s="40" t="s">
        <v>840</v>
      </c>
      <c r="F92" s="20" t="s">
        <v>132</v>
      </c>
      <c r="G92" s="397">
        <f t="shared" si="3"/>
        <v>606</v>
      </c>
      <c r="H92" s="397">
        <f t="shared" si="3"/>
        <v>606</v>
      </c>
      <c r="I92" s="192"/>
    </row>
    <row r="93" spans="1:9" ht="31.5" x14ac:dyDescent="0.25">
      <c r="A93" s="396" t="s">
        <v>133</v>
      </c>
      <c r="B93" s="16">
        <v>902</v>
      </c>
      <c r="C93" s="20" t="s">
        <v>118</v>
      </c>
      <c r="D93" s="20" t="s">
        <v>150</v>
      </c>
      <c r="E93" s="40" t="s">
        <v>840</v>
      </c>
      <c r="F93" s="20" t="s">
        <v>134</v>
      </c>
      <c r="G93" s="397">
        <v>606</v>
      </c>
      <c r="H93" s="397">
        <f t="shared" si="1"/>
        <v>606</v>
      </c>
      <c r="I93" s="192"/>
    </row>
    <row r="94" spans="1:9" ht="63" x14ac:dyDescent="0.25">
      <c r="A94" s="204" t="s">
        <v>842</v>
      </c>
      <c r="B94" s="19">
        <v>902</v>
      </c>
      <c r="C94" s="24" t="s">
        <v>118</v>
      </c>
      <c r="D94" s="24" t="s">
        <v>150</v>
      </c>
      <c r="E94" s="7" t="s">
        <v>849</v>
      </c>
      <c r="F94" s="24"/>
      <c r="G94" s="393">
        <f>G95+G100+G103</f>
        <v>77</v>
      </c>
      <c r="H94" s="393">
        <f>H95+H100+H103</f>
        <v>77</v>
      </c>
      <c r="I94" s="192"/>
    </row>
    <row r="95" spans="1:9" ht="47.25" x14ac:dyDescent="0.25">
      <c r="A95" s="172" t="s">
        <v>165</v>
      </c>
      <c r="B95" s="16">
        <v>902</v>
      </c>
      <c r="C95" s="20" t="s">
        <v>118</v>
      </c>
      <c r="D95" s="20" t="s">
        <v>150</v>
      </c>
      <c r="E95" s="40" t="s">
        <v>841</v>
      </c>
      <c r="F95" s="20"/>
      <c r="G95" s="397">
        <f>G96+G98</f>
        <v>77</v>
      </c>
      <c r="H95" s="397">
        <f>H96+H98</f>
        <v>77</v>
      </c>
      <c r="I95" s="192"/>
    </row>
    <row r="96" spans="1:9" ht="78.75" x14ac:dyDescent="0.25">
      <c r="A96" s="396" t="s">
        <v>127</v>
      </c>
      <c r="B96" s="16">
        <v>902</v>
      </c>
      <c r="C96" s="20" t="s">
        <v>118</v>
      </c>
      <c r="D96" s="20" t="s">
        <v>150</v>
      </c>
      <c r="E96" s="40" t="s">
        <v>841</v>
      </c>
      <c r="F96" s="20" t="s">
        <v>128</v>
      </c>
      <c r="G96" s="397">
        <f>G97</f>
        <v>37</v>
      </c>
      <c r="H96" s="397">
        <f>H97</f>
        <v>37</v>
      </c>
      <c r="I96" s="192"/>
    </row>
    <row r="97" spans="1:9" ht="31.5" x14ac:dyDescent="0.25">
      <c r="A97" s="396" t="s">
        <v>129</v>
      </c>
      <c r="B97" s="16">
        <v>902</v>
      </c>
      <c r="C97" s="20" t="s">
        <v>118</v>
      </c>
      <c r="D97" s="20" t="s">
        <v>150</v>
      </c>
      <c r="E97" s="40" t="s">
        <v>841</v>
      </c>
      <c r="F97" s="20" t="s">
        <v>130</v>
      </c>
      <c r="G97" s="397">
        <f>37</f>
        <v>37</v>
      </c>
      <c r="H97" s="397">
        <f t="shared" si="1"/>
        <v>37</v>
      </c>
      <c r="I97" s="192"/>
    </row>
    <row r="98" spans="1:9" ht="31.5" x14ac:dyDescent="0.25">
      <c r="A98" s="396" t="s">
        <v>131</v>
      </c>
      <c r="B98" s="16">
        <v>902</v>
      </c>
      <c r="C98" s="20" t="s">
        <v>118</v>
      </c>
      <c r="D98" s="20" t="s">
        <v>150</v>
      </c>
      <c r="E98" s="40" t="s">
        <v>841</v>
      </c>
      <c r="F98" s="20" t="s">
        <v>132</v>
      </c>
      <c r="G98" s="397">
        <f>G99</f>
        <v>40</v>
      </c>
      <c r="H98" s="397">
        <f>H99</f>
        <v>40</v>
      </c>
      <c r="I98" s="192"/>
    </row>
    <row r="99" spans="1:9" ht="31.5" x14ac:dyDescent="0.25">
      <c r="A99" s="396" t="s">
        <v>133</v>
      </c>
      <c r="B99" s="16">
        <v>902</v>
      </c>
      <c r="C99" s="20" t="s">
        <v>118</v>
      </c>
      <c r="D99" s="20" t="s">
        <v>150</v>
      </c>
      <c r="E99" s="40" t="s">
        <v>841</v>
      </c>
      <c r="F99" s="20" t="s">
        <v>134</v>
      </c>
      <c r="G99" s="397">
        <f>40</f>
        <v>40</v>
      </c>
      <c r="H99" s="397">
        <f t="shared" ref="H99:H178" si="4">G99</f>
        <v>40</v>
      </c>
      <c r="I99" s="192"/>
    </row>
    <row r="100" spans="1:9" s="191" customFormat="1" ht="47.25" hidden="1" x14ac:dyDescent="0.25">
      <c r="A100" s="31" t="s">
        <v>1095</v>
      </c>
      <c r="B100" s="16">
        <v>902</v>
      </c>
      <c r="C100" s="20" t="s">
        <v>118</v>
      </c>
      <c r="D100" s="20" t="s">
        <v>150</v>
      </c>
      <c r="E100" s="40" t="s">
        <v>992</v>
      </c>
      <c r="F100" s="20"/>
      <c r="G100" s="397">
        <f>G101</f>
        <v>0</v>
      </c>
      <c r="H100" s="397">
        <f>H101</f>
        <v>0</v>
      </c>
      <c r="I100" s="192"/>
    </row>
    <row r="101" spans="1:9" s="191" customFormat="1" ht="31.5" hidden="1" x14ac:dyDescent="0.25">
      <c r="A101" s="396" t="s">
        <v>131</v>
      </c>
      <c r="B101" s="16">
        <v>902</v>
      </c>
      <c r="C101" s="20" t="s">
        <v>118</v>
      </c>
      <c r="D101" s="20" t="s">
        <v>150</v>
      </c>
      <c r="E101" s="40" t="s">
        <v>992</v>
      </c>
      <c r="F101" s="20" t="s">
        <v>132</v>
      </c>
      <c r="G101" s="397">
        <f>G102</f>
        <v>0</v>
      </c>
      <c r="H101" s="397">
        <f>H102</f>
        <v>0</v>
      </c>
      <c r="I101" s="192"/>
    </row>
    <row r="102" spans="1:9" s="191" customFormat="1" ht="31.5" hidden="1" x14ac:dyDescent="0.25">
      <c r="A102" s="396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397">
        <v>0</v>
      </c>
      <c r="H102" s="397">
        <v>0</v>
      </c>
      <c r="I102" s="192"/>
    </row>
    <row r="103" spans="1:9" s="191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991</v>
      </c>
      <c r="F103" s="20"/>
      <c r="G103" s="397">
        <f>G104</f>
        <v>0</v>
      </c>
      <c r="H103" s="397">
        <f>H104</f>
        <v>0</v>
      </c>
      <c r="I103" s="192"/>
    </row>
    <row r="104" spans="1:9" s="191" customFormat="1" ht="31.5" hidden="1" x14ac:dyDescent="0.25">
      <c r="A104" s="396" t="s">
        <v>131</v>
      </c>
      <c r="B104" s="16">
        <v>902</v>
      </c>
      <c r="C104" s="20" t="s">
        <v>118</v>
      </c>
      <c r="D104" s="20" t="s">
        <v>150</v>
      </c>
      <c r="E104" s="20" t="s">
        <v>991</v>
      </c>
      <c r="F104" s="20" t="s">
        <v>132</v>
      </c>
      <c r="G104" s="397">
        <f>G105</f>
        <v>0</v>
      </c>
      <c r="H104" s="397">
        <f>H105</f>
        <v>0</v>
      </c>
      <c r="I104" s="192"/>
    </row>
    <row r="105" spans="1:9" s="191" customFormat="1" ht="31.5" hidden="1" x14ac:dyDescent="0.25">
      <c r="A105" s="396" t="s">
        <v>133</v>
      </c>
      <c r="B105" s="16">
        <v>902</v>
      </c>
      <c r="C105" s="20" t="s">
        <v>118</v>
      </c>
      <c r="D105" s="20" t="s">
        <v>150</v>
      </c>
      <c r="E105" s="20" t="s">
        <v>991</v>
      </c>
      <c r="F105" s="20" t="s">
        <v>134</v>
      </c>
      <c r="G105" s="397">
        <v>0</v>
      </c>
      <c r="H105" s="397">
        <v>0</v>
      </c>
      <c r="I105" s="192"/>
    </row>
    <row r="106" spans="1:9" ht="63" x14ac:dyDescent="0.25">
      <c r="A106" s="205" t="s">
        <v>1002</v>
      </c>
      <c r="B106" s="19">
        <v>902</v>
      </c>
      <c r="C106" s="24" t="s">
        <v>118</v>
      </c>
      <c r="D106" s="24" t="s">
        <v>150</v>
      </c>
      <c r="E106" s="7" t="s">
        <v>850</v>
      </c>
      <c r="F106" s="24"/>
      <c r="G106" s="393">
        <f>G107+G110</f>
        <v>0.5</v>
      </c>
      <c r="H106" s="393">
        <f>H107+H110</f>
        <v>0.5</v>
      </c>
      <c r="I106" s="192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843</v>
      </c>
      <c r="F107" s="20"/>
      <c r="G107" s="397">
        <f>G108</f>
        <v>0.5</v>
      </c>
      <c r="H107" s="397">
        <f>H108</f>
        <v>0.5</v>
      </c>
      <c r="I107" s="192"/>
    </row>
    <row r="108" spans="1:9" ht="31.5" x14ac:dyDescent="0.25">
      <c r="A108" s="396" t="s">
        <v>131</v>
      </c>
      <c r="B108" s="16">
        <v>902</v>
      </c>
      <c r="C108" s="20" t="s">
        <v>118</v>
      </c>
      <c r="D108" s="20" t="s">
        <v>150</v>
      </c>
      <c r="E108" s="40" t="s">
        <v>843</v>
      </c>
      <c r="F108" s="20" t="s">
        <v>132</v>
      </c>
      <c r="G108" s="397">
        <f>G109</f>
        <v>0.5</v>
      </c>
      <c r="H108" s="397">
        <f>H109</f>
        <v>0.5</v>
      </c>
      <c r="I108" s="192"/>
    </row>
    <row r="109" spans="1:9" ht="31.5" x14ac:dyDescent="0.25">
      <c r="A109" s="396" t="s">
        <v>133</v>
      </c>
      <c r="B109" s="16">
        <v>902</v>
      </c>
      <c r="C109" s="20" t="s">
        <v>118</v>
      </c>
      <c r="D109" s="20" t="s">
        <v>150</v>
      </c>
      <c r="E109" s="40" t="s">
        <v>843</v>
      </c>
      <c r="F109" s="20" t="s">
        <v>134</v>
      </c>
      <c r="G109" s="397">
        <f>0.5</f>
        <v>0.5</v>
      </c>
      <c r="H109" s="397">
        <f t="shared" si="4"/>
        <v>0.5</v>
      </c>
      <c r="I109" s="192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844</v>
      </c>
      <c r="F110" s="20"/>
      <c r="G110" s="397">
        <f>'Пр.4 ведом.21'!G115</f>
        <v>0</v>
      </c>
      <c r="H110" s="397">
        <f t="shared" si="4"/>
        <v>0</v>
      </c>
      <c r="I110" s="192"/>
    </row>
    <row r="111" spans="1:9" ht="31.5" hidden="1" x14ac:dyDescent="0.25">
      <c r="A111" s="396" t="s">
        <v>131</v>
      </c>
      <c r="B111" s="16">
        <v>902</v>
      </c>
      <c r="C111" s="20" t="s">
        <v>118</v>
      </c>
      <c r="D111" s="20" t="s">
        <v>150</v>
      </c>
      <c r="E111" s="20" t="s">
        <v>844</v>
      </c>
      <c r="F111" s="20" t="s">
        <v>132</v>
      </c>
      <c r="G111" s="397">
        <f>'Пр.4 ведом.21'!G116</f>
        <v>0</v>
      </c>
      <c r="H111" s="397">
        <f t="shared" si="4"/>
        <v>0</v>
      </c>
      <c r="I111" s="192"/>
    </row>
    <row r="112" spans="1:9" ht="31.5" hidden="1" x14ac:dyDescent="0.25">
      <c r="A112" s="396" t="s">
        <v>133</v>
      </c>
      <c r="B112" s="16">
        <v>902</v>
      </c>
      <c r="C112" s="20" t="s">
        <v>118</v>
      </c>
      <c r="D112" s="20" t="s">
        <v>150</v>
      </c>
      <c r="E112" s="20" t="s">
        <v>844</v>
      </c>
      <c r="F112" s="20" t="s">
        <v>134</v>
      </c>
      <c r="G112" s="397">
        <f>'Пр.4 ведом.21'!G117</f>
        <v>0</v>
      </c>
      <c r="H112" s="397">
        <f t="shared" si="4"/>
        <v>0</v>
      </c>
      <c r="I112" s="192"/>
    </row>
    <row r="113" spans="1:9" ht="47.25" x14ac:dyDescent="0.25">
      <c r="A113" s="394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393">
        <f>G114</f>
        <v>1332.2</v>
      </c>
      <c r="H113" s="393">
        <f>H114</f>
        <v>1332.2</v>
      </c>
      <c r="I113" s="192"/>
    </row>
    <row r="114" spans="1:9" ht="31.5" x14ac:dyDescent="0.25">
      <c r="A114" s="394" t="s">
        <v>916</v>
      </c>
      <c r="B114" s="19">
        <v>902</v>
      </c>
      <c r="C114" s="24" t="s">
        <v>118</v>
      </c>
      <c r="D114" s="24" t="s">
        <v>120</v>
      </c>
      <c r="E114" s="24" t="s">
        <v>857</v>
      </c>
      <c r="F114" s="24"/>
      <c r="G114" s="393">
        <f>G115</f>
        <v>1332.2</v>
      </c>
      <c r="H114" s="393">
        <f>H115</f>
        <v>1332.2</v>
      </c>
      <c r="I114" s="192"/>
    </row>
    <row r="115" spans="1:9" ht="15.75" x14ac:dyDescent="0.25">
      <c r="A115" s="394" t="s">
        <v>917</v>
      </c>
      <c r="B115" s="19">
        <v>902</v>
      </c>
      <c r="C115" s="24" t="s">
        <v>118</v>
      </c>
      <c r="D115" s="24" t="s">
        <v>120</v>
      </c>
      <c r="E115" s="24" t="s">
        <v>858</v>
      </c>
      <c r="F115" s="24"/>
      <c r="G115" s="393">
        <f>G116+G119</f>
        <v>1332.2</v>
      </c>
      <c r="H115" s="393">
        <f>H116+H119</f>
        <v>1332.2</v>
      </c>
      <c r="I115" s="192"/>
    </row>
    <row r="116" spans="1:9" ht="31.5" x14ac:dyDescent="0.25">
      <c r="A116" s="396" t="s">
        <v>896</v>
      </c>
      <c r="B116" s="16">
        <v>902</v>
      </c>
      <c r="C116" s="20" t="s">
        <v>118</v>
      </c>
      <c r="D116" s="20" t="s">
        <v>120</v>
      </c>
      <c r="E116" s="20" t="s">
        <v>859</v>
      </c>
      <c r="F116" s="20"/>
      <c r="G116" s="397">
        <f>G117</f>
        <v>1286.2</v>
      </c>
      <c r="H116" s="397">
        <f>H117</f>
        <v>1286.2</v>
      </c>
      <c r="I116" s="192"/>
    </row>
    <row r="117" spans="1:9" ht="78.75" x14ac:dyDescent="0.25">
      <c r="A117" s="396" t="s">
        <v>127</v>
      </c>
      <c r="B117" s="16">
        <v>902</v>
      </c>
      <c r="C117" s="20" t="s">
        <v>118</v>
      </c>
      <c r="D117" s="20" t="s">
        <v>120</v>
      </c>
      <c r="E117" s="20" t="s">
        <v>859</v>
      </c>
      <c r="F117" s="20" t="s">
        <v>128</v>
      </c>
      <c r="G117" s="397">
        <f>G118</f>
        <v>1286.2</v>
      </c>
      <c r="H117" s="397">
        <f>H118</f>
        <v>1286.2</v>
      </c>
      <c r="I117" s="192"/>
    </row>
    <row r="118" spans="1:9" ht="31.5" x14ac:dyDescent="0.25">
      <c r="A118" s="396" t="s">
        <v>129</v>
      </c>
      <c r="B118" s="16">
        <v>902</v>
      </c>
      <c r="C118" s="20" t="s">
        <v>118</v>
      </c>
      <c r="D118" s="20" t="s">
        <v>120</v>
      </c>
      <c r="E118" s="20" t="s">
        <v>859</v>
      </c>
      <c r="F118" s="20" t="s">
        <v>130</v>
      </c>
      <c r="G118" s="397">
        <v>1286.2</v>
      </c>
      <c r="H118" s="397">
        <f t="shared" si="4"/>
        <v>1286.2</v>
      </c>
      <c r="I118" s="192"/>
    </row>
    <row r="119" spans="1:9" ht="47.25" x14ac:dyDescent="0.25">
      <c r="A119" s="396" t="s">
        <v>838</v>
      </c>
      <c r="B119" s="16">
        <v>902</v>
      </c>
      <c r="C119" s="20" t="s">
        <v>118</v>
      </c>
      <c r="D119" s="20" t="s">
        <v>120</v>
      </c>
      <c r="E119" s="20" t="s">
        <v>861</v>
      </c>
      <c r="F119" s="20"/>
      <c r="G119" s="397">
        <f>G120</f>
        <v>46</v>
      </c>
      <c r="H119" s="397">
        <f>H120</f>
        <v>46</v>
      </c>
      <c r="I119" s="192"/>
    </row>
    <row r="120" spans="1:9" ht="78.75" x14ac:dyDescent="0.25">
      <c r="A120" s="396" t="s">
        <v>127</v>
      </c>
      <c r="B120" s="16">
        <v>902</v>
      </c>
      <c r="C120" s="20" t="s">
        <v>118</v>
      </c>
      <c r="D120" s="20" t="s">
        <v>120</v>
      </c>
      <c r="E120" s="20" t="s">
        <v>861</v>
      </c>
      <c r="F120" s="20" t="s">
        <v>128</v>
      </c>
      <c r="G120" s="397">
        <f>G121</f>
        <v>46</v>
      </c>
      <c r="H120" s="397">
        <f>H121</f>
        <v>46</v>
      </c>
      <c r="I120" s="192"/>
    </row>
    <row r="121" spans="1:9" ht="31.5" x14ac:dyDescent="0.25">
      <c r="A121" s="396" t="s">
        <v>129</v>
      </c>
      <c r="B121" s="16">
        <v>902</v>
      </c>
      <c r="C121" s="20" t="s">
        <v>118</v>
      </c>
      <c r="D121" s="20" t="s">
        <v>120</v>
      </c>
      <c r="E121" s="20" t="s">
        <v>861</v>
      </c>
      <c r="F121" s="20" t="s">
        <v>130</v>
      </c>
      <c r="G121" s="397">
        <v>46</v>
      </c>
      <c r="H121" s="397">
        <f t="shared" si="4"/>
        <v>46</v>
      </c>
      <c r="I121" s="192"/>
    </row>
    <row r="122" spans="1:9" s="191" customFormat="1" ht="15.75" hidden="1" x14ac:dyDescent="0.25">
      <c r="A122" s="394" t="s">
        <v>1145</v>
      </c>
      <c r="B122" s="19">
        <v>902</v>
      </c>
      <c r="C122" s="24" t="s">
        <v>118</v>
      </c>
      <c r="D122" s="24" t="s">
        <v>264</v>
      </c>
      <c r="E122" s="24"/>
      <c r="F122" s="20"/>
      <c r="G122" s="393">
        <f t="shared" ref="G122:H124" si="5">G123</f>
        <v>0</v>
      </c>
      <c r="H122" s="393">
        <f t="shared" si="5"/>
        <v>0</v>
      </c>
      <c r="I122" s="192"/>
    </row>
    <row r="123" spans="1:9" s="191" customFormat="1" ht="15.75" hidden="1" x14ac:dyDescent="0.25">
      <c r="A123" s="394" t="s">
        <v>141</v>
      </c>
      <c r="B123" s="19">
        <v>902</v>
      </c>
      <c r="C123" s="24" t="s">
        <v>118</v>
      </c>
      <c r="D123" s="24" t="s">
        <v>264</v>
      </c>
      <c r="E123" s="24" t="s">
        <v>865</v>
      </c>
      <c r="F123" s="20"/>
      <c r="G123" s="393">
        <f t="shared" si="5"/>
        <v>0</v>
      </c>
      <c r="H123" s="393">
        <f t="shared" si="5"/>
        <v>0</v>
      </c>
      <c r="I123" s="192"/>
    </row>
    <row r="124" spans="1:9" s="191" customFormat="1" ht="31.5" hidden="1" x14ac:dyDescent="0.25">
      <c r="A124" s="394" t="s">
        <v>869</v>
      </c>
      <c r="B124" s="19">
        <v>902</v>
      </c>
      <c r="C124" s="24" t="s">
        <v>118</v>
      </c>
      <c r="D124" s="24" t="s">
        <v>264</v>
      </c>
      <c r="E124" s="24" t="s">
        <v>864</v>
      </c>
      <c r="F124" s="20"/>
      <c r="G124" s="393">
        <f t="shared" si="5"/>
        <v>0</v>
      </c>
      <c r="H124" s="393">
        <f t="shared" si="5"/>
        <v>0</v>
      </c>
      <c r="I124" s="192"/>
    </row>
    <row r="125" spans="1:9" s="191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1144</v>
      </c>
      <c r="F125" s="20"/>
      <c r="G125" s="397">
        <f>G126+G128</f>
        <v>0</v>
      </c>
      <c r="H125" s="397">
        <f>H126+H128</f>
        <v>0</v>
      </c>
      <c r="I125" s="192"/>
    </row>
    <row r="126" spans="1:9" s="191" customFormat="1" ht="78.75" hidden="1" x14ac:dyDescent="0.25">
      <c r="A126" s="396" t="s">
        <v>127</v>
      </c>
      <c r="B126" s="16">
        <v>902</v>
      </c>
      <c r="C126" s="20" t="s">
        <v>118</v>
      </c>
      <c r="D126" s="20" t="s">
        <v>264</v>
      </c>
      <c r="E126" s="20" t="s">
        <v>1144</v>
      </c>
      <c r="F126" s="20" t="s">
        <v>128</v>
      </c>
      <c r="G126" s="397">
        <f>G127</f>
        <v>0</v>
      </c>
      <c r="H126" s="397">
        <f>H127</f>
        <v>0</v>
      </c>
      <c r="I126" s="192"/>
    </row>
    <row r="127" spans="1:9" s="191" customFormat="1" ht="31.5" hidden="1" x14ac:dyDescent="0.25">
      <c r="A127" s="396" t="s">
        <v>129</v>
      </c>
      <c r="B127" s="16">
        <v>902</v>
      </c>
      <c r="C127" s="20" t="s">
        <v>118</v>
      </c>
      <c r="D127" s="20" t="s">
        <v>264</v>
      </c>
      <c r="E127" s="20" t="s">
        <v>1144</v>
      </c>
      <c r="F127" s="20" t="s">
        <v>130</v>
      </c>
      <c r="G127" s="397">
        <v>0</v>
      </c>
      <c r="H127" s="397">
        <v>0</v>
      </c>
      <c r="I127" s="192"/>
    </row>
    <row r="128" spans="1:9" s="191" customFormat="1" ht="31.5" hidden="1" x14ac:dyDescent="0.25">
      <c r="A128" s="396" t="s">
        <v>198</v>
      </c>
      <c r="B128" s="16">
        <v>902</v>
      </c>
      <c r="C128" s="20" t="s">
        <v>118</v>
      </c>
      <c r="D128" s="20" t="s">
        <v>264</v>
      </c>
      <c r="E128" s="20" t="s">
        <v>1144</v>
      </c>
      <c r="F128" s="20" t="s">
        <v>132</v>
      </c>
      <c r="G128" s="397">
        <f>G129</f>
        <v>0</v>
      </c>
      <c r="H128" s="397">
        <f>H129</f>
        <v>0</v>
      </c>
      <c r="I128" s="192"/>
    </row>
    <row r="129" spans="1:9" s="191" customFormat="1" ht="31.5" hidden="1" x14ac:dyDescent="0.25">
      <c r="A129" s="396" t="s">
        <v>133</v>
      </c>
      <c r="B129" s="16">
        <v>902</v>
      </c>
      <c r="C129" s="20" t="s">
        <v>118</v>
      </c>
      <c r="D129" s="20" t="s">
        <v>264</v>
      </c>
      <c r="E129" s="20" t="s">
        <v>1144</v>
      </c>
      <c r="F129" s="20" t="s">
        <v>134</v>
      </c>
      <c r="G129" s="397">
        <v>0</v>
      </c>
      <c r="H129" s="397">
        <v>0</v>
      </c>
      <c r="I129" s="192"/>
    </row>
    <row r="130" spans="1:9" ht="15.75" x14ac:dyDescent="0.25">
      <c r="A130" s="394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393">
        <f>G146+G155+G131+G160+G141</f>
        <v>6009</v>
      </c>
      <c r="H130" s="393">
        <f>H146+H155+H131+H160+H141</f>
        <v>6052</v>
      </c>
      <c r="I130" s="192"/>
    </row>
    <row r="131" spans="1:9" ht="15.75" x14ac:dyDescent="0.25">
      <c r="A131" s="394" t="s">
        <v>141</v>
      </c>
      <c r="B131" s="19">
        <v>902</v>
      </c>
      <c r="C131" s="24" t="s">
        <v>118</v>
      </c>
      <c r="D131" s="24" t="s">
        <v>140</v>
      </c>
      <c r="E131" s="24" t="s">
        <v>865</v>
      </c>
      <c r="F131" s="24"/>
      <c r="G131" s="393">
        <f>G132</f>
        <v>5829</v>
      </c>
      <c r="H131" s="393">
        <f>H132</f>
        <v>5829</v>
      </c>
      <c r="I131" s="192"/>
    </row>
    <row r="132" spans="1:9" ht="31.5" x14ac:dyDescent="0.25">
      <c r="A132" s="394" t="s">
        <v>921</v>
      </c>
      <c r="B132" s="19">
        <v>902</v>
      </c>
      <c r="C132" s="24" t="s">
        <v>118</v>
      </c>
      <c r="D132" s="24" t="s">
        <v>140</v>
      </c>
      <c r="E132" s="24" t="s">
        <v>866</v>
      </c>
      <c r="F132" s="24"/>
      <c r="G132" s="393">
        <f>G133+G138</f>
        <v>5829</v>
      </c>
      <c r="H132" s="393">
        <f>H133+H138</f>
        <v>5829</v>
      </c>
      <c r="I132" s="192"/>
    </row>
    <row r="133" spans="1:9" ht="31.5" x14ac:dyDescent="0.25">
      <c r="A133" s="396" t="s">
        <v>927</v>
      </c>
      <c r="B133" s="16">
        <v>902</v>
      </c>
      <c r="C133" s="20" t="s">
        <v>118</v>
      </c>
      <c r="D133" s="20" t="s">
        <v>140</v>
      </c>
      <c r="E133" s="20" t="s">
        <v>867</v>
      </c>
      <c r="F133" s="20"/>
      <c r="G133" s="397">
        <f>G134+G136</f>
        <v>5701</v>
      </c>
      <c r="H133" s="397">
        <f>H134+H136</f>
        <v>5701</v>
      </c>
      <c r="I133" s="192"/>
    </row>
    <row r="134" spans="1:9" ht="78.75" x14ac:dyDescent="0.25">
      <c r="A134" s="396" t="s">
        <v>127</v>
      </c>
      <c r="B134" s="16">
        <v>902</v>
      </c>
      <c r="C134" s="20" t="s">
        <v>118</v>
      </c>
      <c r="D134" s="20" t="s">
        <v>140</v>
      </c>
      <c r="E134" s="20" t="s">
        <v>867</v>
      </c>
      <c r="F134" s="20" t="s">
        <v>128</v>
      </c>
      <c r="G134" s="397">
        <f>G135</f>
        <v>4501</v>
      </c>
      <c r="H134" s="397">
        <f>H135</f>
        <v>4501</v>
      </c>
      <c r="I134" s="192"/>
    </row>
    <row r="135" spans="1:9" ht="15.75" x14ac:dyDescent="0.25">
      <c r="A135" s="396" t="s">
        <v>208</v>
      </c>
      <c r="B135" s="16">
        <v>902</v>
      </c>
      <c r="C135" s="20" t="s">
        <v>118</v>
      </c>
      <c r="D135" s="20" t="s">
        <v>140</v>
      </c>
      <c r="E135" s="20" t="s">
        <v>867</v>
      </c>
      <c r="F135" s="20" t="s">
        <v>209</v>
      </c>
      <c r="G135" s="397">
        <v>4501</v>
      </c>
      <c r="H135" s="397">
        <f t="shared" si="4"/>
        <v>4501</v>
      </c>
      <c r="I135" s="192"/>
    </row>
    <row r="136" spans="1:9" ht="31.5" x14ac:dyDescent="0.25">
      <c r="A136" s="396" t="s">
        <v>198</v>
      </c>
      <c r="B136" s="16">
        <v>902</v>
      </c>
      <c r="C136" s="20" t="s">
        <v>118</v>
      </c>
      <c r="D136" s="20" t="s">
        <v>140</v>
      </c>
      <c r="E136" s="20" t="s">
        <v>867</v>
      </c>
      <c r="F136" s="20" t="s">
        <v>132</v>
      </c>
      <c r="G136" s="397">
        <f>G137</f>
        <v>1200</v>
      </c>
      <c r="H136" s="397">
        <f>H137</f>
        <v>1200</v>
      </c>
      <c r="I136" s="192"/>
    </row>
    <row r="137" spans="1:9" ht="31.5" x14ac:dyDescent="0.25">
      <c r="A137" s="396" t="s">
        <v>133</v>
      </c>
      <c r="B137" s="16">
        <v>902</v>
      </c>
      <c r="C137" s="20" t="s">
        <v>118</v>
      </c>
      <c r="D137" s="20" t="s">
        <v>140</v>
      </c>
      <c r="E137" s="20" t="s">
        <v>867</v>
      </c>
      <c r="F137" s="20" t="s">
        <v>134</v>
      </c>
      <c r="G137" s="397">
        <v>1200</v>
      </c>
      <c r="H137" s="397">
        <f t="shared" si="4"/>
        <v>1200</v>
      </c>
      <c r="I137" s="192"/>
    </row>
    <row r="138" spans="1:9" ht="47.25" x14ac:dyDescent="0.25">
      <c r="A138" s="396" t="s">
        <v>838</v>
      </c>
      <c r="B138" s="16">
        <v>902</v>
      </c>
      <c r="C138" s="20" t="s">
        <v>118</v>
      </c>
      <c r="D138" s="20" t="s">
        <v>140</v>
      </c>
      <c r="E138" s="20" t="s">
        <v>868</v>
      </c>
      <c r="F138" s="20"/>
      <c r="G138" s="397">
        <f>G139</f>
        <v>128</v>
      </c>
      <c r="H138" s="397">
        <f>H139</f>
        <v>128</v>
      </c>
      <c r="I138" s="192"/>
    </row>
    <row r="139" spans="1:9" ht="78.75" x14ac:dyDescent="0.25">
      <c r="A139" s="396" t="s">
        <v>127</v>
      </c>
      <c r="B139" s="16">
        <v>902</v>
      </c>
      <c r="C139" s="20" t="s">
        <v>118</v>
      </c>
      <c r="D139" s="20" t="s">
        <v>140</v>
      </c>
      <c r="E139" s="20" t="s">
        <v>868</v>
      </c>
      <c r="F139" s="20" t="s">
        <v>128</v>
      </c>
      <c r="G139" s="397">
        <f>G140</f>
        <v>128</v>
      </c>
      <c r="H139" s="397">
        <f>H140</f>
        <v>128</v>
      </c>
      <c r="I139" s="192"/>
    </row>
    <row r="140" spans="1:9" ht="15.75" x14ac:dyDescent="0.25">
      <c r="A140" s="396" t="s">
        <v>208</v>
      </c>
      <c r="B140" s="16">
        <v>902</v>
      </c>
      <c r="C140" s="20" t="s">
        <v>118</v>
      </c>
      <c r="D140" s="20" t="s">
        <v>140</v>
      </c>
      <c r="E140" s="20" t="s">
        <v>868</v>
      </c>
      <c r="F140" s="20" t="s">
        <v>209</v>
      </c>
      <c r="G140" s="397">
        <v>128</v>
      </c>
      <c r="H140" s="397">
        <f t="shared" si="4"/>
        <v>128</v>
      </c>
      <c r="I140" s="192"/>
    </row>
    <row r="141" spans="1:9" s="191" customFormat="1" ht="47.25" x14ac:dyDescent="0.25">
      <c r="A141" s="34" t="s">
        <v>1218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393">
        <f>G143</f>
        <v>12</v>
      </c>
      <c r="H141" s="393">
        <f>H143</f>
        <v>40</v>
      </c>
      <c r="I141" s="192"/>
    </row>
    <row r="142" spans="1:9" s="191" customFormat="1" ht="63" x14ac:dyDescent="0.25">
      <c r="A142" s="34" t="s">
        <v>1024</v>
      </c>
      <c r="B142" s="19">
        <v>902</v>
      </c>
      <c r="C142" s="24" t="s">
        <v>118</v>
      </c>
      <c r="D142" s="24" t="s">
        <v>140</v>
      </c>
      <c r="E142" s="24" t="s">
        <v>933</v>
      </c>
      <c r="F142" s="24"/>
      <c r="G142" s="393">
        <f>G145</f>
        <v>12</v>
      </c>
      <c r="H142" s="393">
        <f>H145</f>
        <v>40</v>
      </c>
      <c r="I142" s="192"/>
    </row>
    <row r="143" spans="1:9" s="191" customFormat="1" ht="47.25" x14ac:dyDescent="0.25">
      <c r="A143" s="31" t="s">
        <v>1081</v>
      </c>
      <c r="B143" s="16">
        <v>902</v>
      </c>
      <c r="C143" s="20" t="s">
        <v>118</v>
      </c>
      <c r="D143" s="20" t="s">
        <v>140</v>
      </c>
      <c r="E143" s="20" t="s">
        <v>1025</v>
      </c>
      <c r="F143" s="20"/>
      <c r="G143" s="397">
        <f>G144</f>
        <v>12</v>
      </c>
      <c r="H143" s="397">
        <f>H144</f>
        <v>40</v>
      </c>
      <c r="I143" s="192"/>
    </row>
    <row r="144" spans="1:9" s="191" customFormat="1" ht="31.5" x14ac:dyDescent="0.25">
      <c r="A144" s="396" t="s">
        <v>131</v>
      </c>
      <c r="B144" s="16">
        <v>902</v>
      </c>
      <c r="C144" s="20" t="s">
        <v>118</v>
      </c>
      <c r="D144" s="20" t="s">
        <v>140</v>
      </c>
      <c r="E144" s="20" t="s">
        <v>1025</v>
      </c>
      <c r="F144" s="20" t="s">
        <v>132</v>
      </c>
      <c r="G144" s="397">
        <f>G145</f>
        <v>12</v>
      </c>
      <c r="H144" s="397">
        <f>H145</f>
        <v>40</v>
      </c>
      <c r="I144" s="192"/>
    </row>
    <row r="145" spans="1:9" s="191" customFormat="1" ht="31.5" x14ac:dyDescent="0.25">
      <c r="A145" s="396" t="s">
        <v>133</v>
      </c>
      <c r="B145" s="16">
        <v>902</v>
      </c>
      <c r="C145" s="20" t="s">
        <v>118</v>
      </c>
      <c r="D145" s="20" t="s">
        <v>140</v>
      </c>
      <c r="E145" s="20" t="s">
        <v>1025</v>
      </c>
      <c r="F145" s="20" t="s">
        <v>134</v>
      </c>
      <c r="G145" s="397">
        <v>12</v>
      </c>
      <c r="H145" s="397">
        <v>40</v>
      </c>
      <c r="I145" s="192"/>
    </row>
    <row r="146" spans="1:9" ht="54.75" customHeight="1" x14ac:dyDescent="0.25">
      <c r="A146" s="400" t="s">
        <v>1340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06"/>
      <c r="G146" s="393">
        <f>G147+G151</f>
        <v>43</v>
      </c>
      <c r="H146" s="393">
        <f>H147+H151</f>
        <v>43</v>
      </c>
      <c r="I146" s="192"/>
    </row>
    <row r="147" spans="1:9" ht="47.25" x14ac:dyDescent="0.25">
      <c r="A147" s="195" t="s">
        <v>845</v>
      </c>
      <c r="B147" s="19">
        <v>902</v>
      </c>
      <c r="C147" s="24" t="s">
        <v>118</v>
      </c>
      <c r="D147" s="24" t="s">
        <v>140</v>
      </c>
      <c r="E147" s="24" t="s">
        <v>851</v>
      </c>
      <c r="F147" s="206"/>
      <c r="G147" s="393">
        <f t="shared" ref="G147:H149" si="6">G148</f>
        <v>28</v>
      </c>
      <c r="H147" s="393">
        <f t="shared" si="6"/>
        <v>28</v>
      </c>
      <c r="I147" s="192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846</v>
      </c>
      <c r="F148" s="32"/>
      <c r="G148" s="397">
        <f t="shared" si="6"/>
        <v>28</v>
      </c>
      <c r="H148" s="397">
        <f t="shared" si="6"/>
        <v>28</v>
      </c>
      <c r="I148" s="192"/>
    </row>
    <row r="149" spans="1:9" ht="31.5" x14ac:dyDescent="0.25">
      <c r="A149" s="396" t="s">
        <v>131</v>
      </c>
      <c r="B149" s="16">
        <v>902</v>
      </c>
      <c r="C149" s="20" t="s">
        <v>118</v>
      </c>
      <c r="D149" s="20" t="s">
        <v>140</v>
      </c>
      <c r="E149" s="20" t="s">
        <v>846</v>
      </c>
      <c r="F149" s="32" t="s">
        <v>132</v>
      </c>
      <c r="G149" s="397">
        <f t="shared" si="6"/>
        <v>28</v>
      </c>
      <c r="H149" s="397">
        <f t="shared" si="6"/>
        <v>28</v>
      </c>
      <c r="I149" s="192"/>
    </row>
    <row r="150" spans="1:9" ht="31.5" x14ac:dyDescent="0.25">
      <c r="A150" s="396" t="s">
        <v>133</v>
      </c>
      <c r="B150" s="16">
        <v>902</v>
      </c>
      <c r="C150" s="20" t="s">
        <v>118</v>
      </c>
      <c r="D150" s="20" t="s">
        <v>140</v>
      </c>
      <c r="E150" s="20" t="s">
        <v>846</v>
      </c>
      <c r="F150" s="32" t="s">
        <v>134</v>
      </c>
      <c r="G150" s="397">
        <v>28</v>
      </c>
      <c r="H150" s="397">
        <v>28</v>
      </c>
      <c r="I150" s="192"/>
    </row>
    <row r="151" spans="1:9" ht="31.5" x14ac:dyDescent="0.25">
      <c r="A151" s="402" t="s">
        <v>1022</v>
      </c>
      <c r="B151" s="19">
        <v>902</v>
      </c>
      <c r="C151" s="24" t="s">
        <v>118</v>
      </c>
      <c r="D151" s="24" t="s">
        <v>140</v>
      </c>
      <c r="E151" s="24" t="s">
        <v>852</v>
      </c>
      <c r="F151" s="206"/>
      <c r="G151" s="393">
        <f t="shared" ref="G151:H153" si="7">G152</f>
        <v>15</v>
      </c>
      <c r="H151" s="393">
        <f t="shared" si="7"/>
        <v>15</v>
      </c>
      <c r="I151" s="192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847</v>
      </c>
      <c r="F152" s="32"/>
      <c r="G152" s="397">
        <f t="shared" si="7"/>
        <v>15</v>
      </c>
      <c r="H152" s="397">
        <f t="shared" si="7"/>
        <v>15</v>
      </c>
      <c r="I152" s="192"/>
    </row>
    <row r="153" spans="1:9" ht="31.5" x14ac:dyDescent="0.25">
      <c r="A153" s="396" t="s">
        <v>131</v>
      </c>
      <c r="B153" s="16">
        <v>902</v>
      </c>
      <c r="C153" s="20" t="s">
        <v>118</v>
      </c>
      <c r="D153" s="20" t="s">
        <v>140</v>
      </c>
      <c r="E153" s="20" t="s">
        <v>847</v>
      </c>
      <c r="F153" s="32" t="s">
        <v>132</v>
      </c>
      <c r="G153" s="397">
        <f t="shared" si="7"/>
        <v>15</v>
      </c>
      <c r="H153" s="397">
        <f t="shared" si="7"/>
        <v>15</v>
      </c>
      <c r="I153" s="192"/>
    </row>
    <row r="154" spans="1:9" ht="31.5" x14ac:dyDescent="0.25">
      <c r="A154" s="396" t="s">
        <v>133</v>
      </c>
      <c r="B154" s="16">
        <v>902</v>
      </c>
      <c r="C154" s="20" t="s">
        <v>118</v>
      </c>
      <c r="D154" s="20" t="s">
        <v>140</v>
      </c>
      <c r="E154" s="20" t="s">
        <v>847</v>
      </c>
      <c r="F154" s="32" t="s">
        <v>134</v>
      </c>
      <c r="G154" s="397">
        <f>15</f>
        <v>15</v>
      </c>
      <c r="H154" s="397">
        <f t="shared" si="4"/>
        <v>15</v>
      </c>
      <c r="I154" s="192"/>
    </row>
    <row r="155" spans="1:9" ht="78.75" x14ac:dyDescent="0.25">
      <c r="A155" s="400" t="s">
        <v>1364</v>
      </c>
      <c r="B155" s="19">
        <v>902</v>
      </c>
      <c r="C155" s="8" t="s">
        <v>118</v>
      </c>
      <c r="D155" s="8" t="s">
        <v>140</v>
      </c>
      <c r="E155" s="312" t="s">
        <v>816</v>
      </c>
      <c r="F155" s="8"/>
      <c r="G155" s="393">
        <f t="shared" ref="G155:H158" si="8">G156</f>
        <v>45</v>
      </c>
      <c r="H155" s="393">
        <f t="shared" si="8"/>
        <v>50</v>
      </c>
      <c r="I155" s="192"/>
    </row>
    <row r="156" spans="1:9" ht="47.25" x14ac:dyDescent="0.25">
      <c r="A156" s="197" t="s">
        <v>853</v>
      </c>
      <c r="B156" s="19">
        <v>902</v>
      </c>
      <c r="C156" s="8" t="s">
        <v>118</v>
      </c>
      <c r="D156" s="8" t="s">
        <v>140</v>
      </c>
      <c r="E156" s="187" t="s">
        <v>1076</v>
      </c>
      <c r="F156" s="8"/>
      <c r="G156" s="393">
        <f t="shared" si="8"/>
        <v>45</v>
      </c>
      <c r="H156" s="393">
        <f t="shared" si="8"/>
        <v>50</v>
      </c>
      <c r="I156" s="192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854</v>
      </c>
      <c r="F157" s="9"/>
      <c r="G157" s="397">
        <f t="shared" si="8"/>
        <v>45</v>
      </c>
      <c r="H157" s="397">
        <f t="shared" si="8"/>
        <v>50</v>
      </c>
      <c r="I157" s="192"/>
    </row>
    <row r="158" spans="1:9" ht="31.5" x14ac:dyDescent="0.25">
      <c r="A158" s="396" t="s">
        <v>131</v>
      </c>
      <c r="B158" s="16">
        <v>902</v>
      </c>
      <c r="C158" s="9" t="s">
        <v>118</v>
      </c>
      <c r="D158" s="9" t="s">
        <v>140</v>
      </c>
      <c r="E158" s="5" t="s">
        <v>854</v>
      </c>
      <c r="F158" s="9" t="s">
        <v>132</v>
      </c>
      <c r="G158" s="397">
        <f t="shared" si="8"/>
        <v>45</v>
      </c>
      <c r="H158" s="397">
        <f t="shared" si="8"/>
        <v>50</v>
      </c>
      <c r="I158" s="192"/>
    </row>
    <row r="159" spans="1:9" ht="35.450000000000003" customHeight="1" x14ac:dyDescent="0.25">
      <c r="A159" s="396" t="s">
        <v>133</v>
      </c>
      <c r="B159" s="16">
        <v>902</v>
      </c>
      <c r="C159" s="9" t="s">
        <v>118</v>
      </c>
      <c r="D159" s="9" t="s">
        <v>140</v>
      </c>
      <c r="E159" s="5" t="s">
        <v>854</v>
      </c>
      <c r="F159" s="9" t="s">
        <v>134</v>
      </c>
      <c r="G159" s="397">
        <v>45</v>
      </c>
      <c r="H159" s="397">
        <v>50</v>
      </c>
      <c r="I159" s="192"/>
    </row>
    <row r="160" spans="1:9" ht="63" x14ac:dyDescent="0.25">
      <c r="A160" s="400" t="s">
        <v>1342</v>
      </c>
      <c r="B160" s="19">
        <v>902</v>
      </c>
      <c r="C160" s="8" t="s">
        <v>118</v>
      </c>
      <c r="D160" s="8" t="s">
        <v>140</v>
      </c>
      <c r="E160" s="187" t="s">
        <v>817</v>
      </c>
      <c r="F160" s="8"/>
      <c r="G160" s="393">
        <f>G162</f>
        <v>80</v>
      </c>
      <c r="H160" s="393">
        <f>H162</f>
        <v>90</v>
      </c>
      <c r="I160" s="192"/>
    </row>
    <row r="161" spans="1:9" ht="31.5" x14ac:dyDescent="0.25">
      <c r="A161" s="58" t="s">
        <v>855</v>
      </c>
      <c r="B161" s="19">
        <v>902</v>
      </c>
      <c r="C161" s="8" t="s">
        <v>118</v>
      </c>
      <c r="D161" s="8" t="s">
        <v>140</v>
      </c>
      <c r="E161" s="187" t="s">
        <v>863</v>
      </c>
      <c r="F161" s="8"/>
      <c r="G161" s="393">
        <f t="shared" ref="G161:H163" si="9">G162</f>
        <v>80</v>
      </c>
      <c r="H161" s="393">
        <f t="shared" si="9"/>
        <v>90</v>
      </c>
      <c r="I161" s="192"/>
    </row>
    <row r="162" spans="1:9" ht="15.75" x14ac:dyDescent="0.25">
      <c r="A162" s="45" t="s">
        <v>821</v>
      </c>
      <c r="B162" s="16">
        <v>902</v>
      </c>
      <c r="C162" s="9" t="s">
        <v>118</v>
      </c>
      <c r="D162" s="9" t="s">
        <v>140</v>
      </c>
      <c r="E162" s="5" t="s">
        <v>856</v>
      </c>
      <c r="F162" s="9"/>
      <c r="G162" s="397">
        <f t="shared" si="9"/>
        <v>80</v>
      </c>
      <c r="H162" s="397">
        <f t="shared" si="9"/>
        <v>90</v>
      </c>
      <c r="I162" s="192"/>
    </row>
    <row r="163" spans="1:9" ht="31.5" x14ac:dyDescent="0.25">
      <c r="A163" s="396" t="s">
        <v>131</v>
      </c>
      <c r="B163" s="16">
        <v>902</v>
      </c>
      <c r="C163" s="9" t="s">
        <v>118</v>
      </c>
      <c r="D163" s="9" t="s">
        <v>140</v>
      </c>
      <c r="E163" s="5" t="s">
        <v>856</v>
      </c>
      <c r="F163" s="9" t="s">
        <v>132</v>
      </c>
      <c r="G163" s="397">
        <f t="shared" si="9"/>
        <v>80</v>
      </c>
      <c r="H163" s="397">
        <f t="shared" si="9"/>
        <v>90</v>
      </c>
      <c r="I163" s="192"/>
    </row>
    <row r="164" spans="1:9" ht="31.5" x14ac:dyDescent="0.25">
      <c r="A164" s="396" t="s">
        <v>133</v>
      </c>
      <c r="B164" s="16">
        <v>902</v>
      </c>
      <c r="C164" s="9" t="s">
        <v>118</v>
      </c>
      <c r="D164" s="9" t="s">
        <v>140</v>
      </c>
      <c r="E164" s="5" t="s">
        <v>856</v>
      </c>
      <c r="F164" s="9" t="s">
        <v>134</v>
      </c>
      <c r="G164" s="397">
        <v>80</v>
      </c>
      <c r="H164" s="397">
        <v>90</v>
      </c>
      <c r="I164" s="192"/>
    </row>
    <row r="165" spans="1:9" ht="15.75" hidden="1" x14ac:dyDescent="0.25">
      <c r="A165" s="394" t="s">
        <v>212</v>
      </c>
      <c r="B165" s="19">
        <v>902</v>
      </c>
      <c r="C165" s="24" t="s">
        <v>213</v>
      </c>
      <c r="D165" s="24"/>
      <c r="E165" s="24"/>
      <c r="F165" s="24"/>
      <c r="G165" s="393">
        <f t="shared" ref="G165:H168" si="10">G166</f>
        <v>0</v>
      </c>
      <c r="H165" s="393">
        <f t="shared" si="10"/>
        <v>0</v>
      </c>
      <c r="I165" s="192"/>
    </row>
    <row r="166" spans="1:9" ht="17.100000000000001" hidden="1" customHeight="1" x14ac:dyDescent="0.25">
      <c r="A166" s="394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393">
        <f t="shared" si="10"/>
        <v>0</v>
      </c>
      <c r="H166" s="393">
        <f t="shared" si="10"/>
        <v>0</v>
      </c>
      <c r="I166" s="192"/>
    </row>
    <row r="167" spans="1:9" ht="15.75" hidden="1" x14ac:dyDescent="0.25">
      <c r="A167" s="394" t="s">
        <v>141</v>
      </c>
      <c r="B167" s="19">
        <v>902</v>
      </c>
      <c r="C167" s="24" t="s">
        <v>213</v>
      </c>
      <c r="D167" s="24" t="s">
        <v>219</v>
      </c>
      <c r="E167" s="24" t="s">
        <v>865</v>
      </c>
      <c r="F167" s="24"/>
      <c r="G167" s="393">
        <f t="shared" si="10"/>
        <v>0</v>
      </c>
      <c r="H167" s="393">
        <f t="shared" si="10"/>
        <v>0</v>
      </c>
      <c r="I167" s="192"/>
    </row>
    <row r="168" spans="1:9" ht="31.5" hidden="1" x14ac:dyDescent="0.25">
      <c r="A168" s="394" t="s">
        <v>869</v>
      </c>
      <c r="B168" s="19">
        <v>902</v>
      </c>
      <c r="C168" s="24" t="s">
        <v>213</v>
      </c>
      <c r="D168" s="24" t="s">
        <v>219</v>
      </c>
      <c r="E168" s="24" t="s">
        <v>864</v>
      </c>
      <c r="F168" s="24"/>
      <c r="G168" s="393">
        <f t="shared" si="10"/>
        <v>0</v>
      </c>
      <c r="H168" s="393">
        <f t="shared" si="10"/>
        <v>0</v>
      </c>
      <c r="I168" s="192"/>
    </row>
    <row r="169" spans="1:9" ht="15.75" hidden="1" x14ac:dyDescent="0.25">
      <c r="A169" s="396" t="s">
        <v>220</v>
      </c>
      <c r="B169" s="16">
        <v>902</v>
      </c>
      <c r="C169" s="20" t="s">
        <v>213</v>
      </c>
      <c r="D169" s="20" t="s">
        <v>219</v>
      </c>
      <c r="E169" s="20" t="s">
        <v>870</v>
      </c>
      <c r="F169" s="20"/>
      <c r="G169" s="397">
        <f>'Пр.4 ведом.21'!G179</f>
        <v>0</v>
      </c>
      <c r="H169" s="397">
        <f t="shared" si="4"/>
        <v>0</v>
      </c>
      <c r="I169" s="192"/>
    </row>
    <row r="170" spans="1:9" ht="31.5" hidden="1" x14ac:dyDescent="0.25">
      <c r="A170" s="396" t="s">
        <v>198</v>
      </c>
      <c r="B170" s="16">
        <v>902</v>
      </c>
      <c r="C170" s="20" t="s">
        <v>213</v>
      </c>
      <c r="D170" s="20" t="s">
        <v>219</v>
      </c>
      <c r="E170" s="20" t="s">
        <v>870</v>
      </c>
      <c r="F170" s="20" t="s">
        <v>132</v>
      </c>
      <c r="G170" s="397">
        <f>'Пр.4 ведом.21'!G180</f>
        <v>0</v>
      </c>
      <c r="H170" s="397">
        <f t="shared" si="4"/>
        <v>0</v>
      </c>
      <c r="I170" s="192"/>
    </row>
    <row r="171" spans="1:9" ht="31.5" hidden="1" x14ac:dyDescent="0.25">
      <c r="A171" s="396" t="s">
        <v>133</v>
      </c>
      <c r="B171" s="16">
        <v>902</v>
      </c>
      <c r="C171" s="20" t="s">
        <v>213</v>
      </c>
      <c r="D171" s="20" t="s">
        <v>219</v>
      </c>
      <c r="E171" s="20" t="s">
        <v>870</v>
      </c>
      <c r="F171" s="20" t="s">
        <v>134</v>
      </c>
      <c r="G171" s="397">
        <f>'Пр.4 ведом.21'!G181</f>
        <v>0</v>
      </c>
      <c r="H171" s="397">
        <f t="shared" si="4"/>
        <v>0</v>
      </c>
      <c r="I171" s="192"/>
    </row>
    <row r="172" spans="1:9" ht="31.5" x14ac:dyDescent="0.25">
      <c r="A172" s="394" t="s">
        <v>222</v>
      </c>
      <c r="B172" s="19">
        <v>902</v>
      </c>
      <c r="C172" s="24" t="s">
        <v>215</v>
      </c>
      <c r="D172" s="24"/>
      <c r="E172" s="24"/>
      <c r="F172" s="24"/>
      <c r="G172" s="393">
        <f>G173</f>
        <v>8090.1</v>
      </c>
      <c r="H172" s="393">
        <f>H173</f>
        <v>8090.1</v>
      </c>
      <c r="I172" s="192"/>
    </row>
    <row r="173" spans="1:9" ht="47.25" x14ac:dyDescent="0.25">
      <c r="A173" s="394" t="s">
        <v>1344</v>
      </c>
      <c r="B173" s="19">
        <v>902</v>
      </c>
      <c r="C173" s="24" t="s">
        <v>215</v>
      </c>
      <c r="D173" s="24" t="s">
        <v>244</v>
      </c>
      <c r="E173" s="20"/>
      <c r="F173" s="20"/>
      <c r="G173" s="393">
        <f>G174</f>
        <v>8090.1</v>
      </c>
      <c r="H173" s="393">
        <f>H174</f>
        <v>8090.1</v>
      </c>
      <c r="I173" s="192"/>
    </row>
    <row r="174" spans="1:9" ht="15.75" x14ac:dyDescent="0.25">
      <c r="A174" s="394" t="s">
        <v>141</v>
      </c>
      <c r="B174" s="19">
        <v>902</v>
      </c>
      <c r="C174" s="24" t="s">
        <v>215</v>
      </c>
      <c r="D174" s="24" t="s">
        <v>244</v>
      </c>
      <c r="E174" s="24" t="s">
        <v>865</v>
      </c>
      <c r="F174" s="24"/>
      <c r="G174" s="393">
        <f>G175+G182</f>
        <v>8090.1</v>
      </c>
      <c r="H174" s="393">
        <f>H175+H182</f>
        <v>8090.1</v>
      </c>
      <c r="I174" s="192"/>
    </row>
    <row r="175" spans="1:9" ht="31.5" x14ac:dyDescent="0.25">
      <c r="A175" s="394" t="s">
        <v>869</v>
      </c>
      <c r="B175" s="19">
        <v>902</v>
      </c>
      <c r="C175" s="24" t="s">
        <v>215</v>
      </c>
      <c r="D175" s="24" t="s">
        <v>244</v>
      </c>
      <c r="E175" s="24" t="s">
        <v>864</v>
      </c>
      <c r="F175" s="24"/>
      <c r="G175" s="393">
        <f>G176+G179</f>
        <v>1982</v>
      </c>
      <c r="H175" s="393">
        <f>H176+H179</f>
        <v>1982</v>
      </c>
      <c r="I175" s="192"/>
    </row>
    <row r="176" spans="1:9" ht="47.25" x14ac:dyDescent="0.25">
      <c r="A176" s="396" t="s">
        <v>224</v>
      </c>
      <c r="B176" s="16">
        <v>902</v>
      </c>
      <c r="C176" s="20" t="s">
        <v>215</v>
      </c>
      <c r="D176" s="20" t="s">
        <v>244</v>
      </c>
      <c r="E176" s="20" t="s">
        <v>874</v>
      </c>
      <c r="F176" s="20"/>
      <c r="G176" s="397">
        <f>G177</f>
        <v>1785</v>
      </c>
      <c r="H176" s="397">
        <f>H177</f>
        <v>1785</v>
      </c>
      <c r="I176" s="192"/>
    </row>
    <row r="177" spans="1:9" ht="31.5" x14ac:dyDescent="0.25">
      <c r="A177" s="396" t="s">
        <v>198</v>
      </c>
      <c r="B177" s="16">
        <v>902</v>
      </c>
      <c r="C177" s="20" t="s">
        <v>215</v>
      </c>
      <c r="D177" s="20" t="s">
        <v>244</v>
      </c>
      <c r="E177" s="20" t="s">
        <v>874</v>
      </c>
      <c r="F177" s="20" t="s">
        <v>132</v>
      </c>
      <c r="G177" s="397">
        <f>G178</f>
        <v>1785</v>
      </c>
      <c r="H177" s="397">
        <f>H178</f>
        <v>1785</v>
      </c>
      <c r="I177" s="192"/>
    </row>
    <row r="178" spans="1:9" ht="31.5" x14ac:dyDescent="0.25">
      <c r="A178" s="396" t="s">
        <v>133</v>
      </c>
      <c r="B178" s="16">
        <v>902</v>
      </c>
      <c r="C178" s="20" t="s">
        <v>215</v>
      </c>
      <c r="D178" s="20" t="s">
        <v>244</v>
      </c>
      <c r="E178" s="20" t="s">
        <v>874</v>
      </c>
      <c r="F178" s="20" t="s">
        <v>134</v>
      </c>
      <c r="G178" s="397">
        <f>1785</f>
        <v>1785</v>
      </c>
      <c r="H178" s="397">
        <f t="shared" si="4"/>
        <v>1785</v>
      </c>
      <c r="I178" s="192"/>
    </row>
    <row r="179" spans="1:9" ht="15.75" x14ac:dyDescent="0.25">
      <c r="A179" s="396" t="s">
        <v>230</v>
      </c>
      <c r="B179" s="16">
        <v>902</v>
      </c>
      <c r="C179" s="20" t="s">
        <v>215</v>
      </c>
      <c r="D179" s="20" t="s">
        <v>244</v>
      </c>
      <c r="E179" s="20" t="s">
        <v>875</v>
      </c>
      <c r="F179" s="20"/>
      <c r="G179" s="397">
        <f>G180</f>
        <v>197</v>
      </c>
      <c r="H179" s="397">
        <f>H180</f>
        <v>197</v>
      </c>
      <c r="I179" s="192"/>
    </row>
    <row r="180" spans="1:9" ht="31.5" x14ac:dyDescent="0.25">
      <c r="A180" s="396" t="s">
        <v>198</v>
      </c>
      <c r="B180" s="16">
        <v>902</v>
      </c>
      <c r="C180" s="20" t="s">
        <v>215</v>
      </c>
      <c r="D180" s="20" t="s">
        <v>244</v>
      </c>
      <c r="E180" s="20" t="s">
        <v>875</v>
      </c>
      <c r="F180" s="20" t="s">
        <v>132</v>
      </c>
      <c r="G180" s="397">
        <f>G181</f>
        <v>197</v>
      </c>
      <c r="H180" s="397">
        <f>H181</f>
        <v>197</v>
      </c>
      <c r="I180" s="192"/>
    </row>
    <row r="181" spans="1:9" ht="31.5" x14ac:dyDescent="0.25">
      <c r="A181" s="396" t="s">
        <v>133</v>
      </c>
      <c r="B181" s="16">
        <v>902</v>
      </c>
      <c r="C181" s="20" t="s">
        <v>215</v>
      </c>
      <c r="D181" s="20" t="s">
        <v>244</v>
      </c>
      <c r="E181" s="20" t="s">
        <v>875</v>
      </c>
      <c r="F181" s="20" t="s">
        <v>134</v>
      </c>
      <c r="G181" s="397">
        <f>197</f>
        <v>197</v>
      </c>
      <c r="H181" s="397">
        <f t="shared" ref="H181:H241" si="11">G181</f>
        <v>197</v>
      </c>
      <c r="I181" s="192"/>
    </row>
    <row r="182" spans="1:9" ht="31.5" x14ac:dyDescent="0.25">
      <c r="A182" s="394" t="s">
        <v>922</v>
      </c>
      <c r="B182" s="19">
        <v>902</v>
      </c>
      <c r="C182" s="24" t="s">
        <v>215</v>
      </c>
      <c r="D182" s="24" t="s">
        <v>244</v>
      </c>
      <c r="E182" s="24" t="s">
        <v>871</v>
      </c>
      <c r="F182" s="24"/>
      <c r="G182" s="393">
        <f>G183+G188</f>
        <v>6108.1</v>
      </c>
      <c r="H182" s="393">
        <f>H183+H188</f>
        <v>6108.1</v>
      </c>
      <c r="I182" s="192"/>
    </row>
    <row r="183" spans="1:9" ht="31.5" x14ac:dyDescent="0.25">
      <c r="A183" s="396" t="s">
        <v>926</v>
      </c>
      <c r="B183" s="16">
        <v>902</v>
      </c>
      <c r="C183" s="20" t="s">
        <v>215</v>
      </c>
      <c r="D183" s="20" t="s">
        <v>244</v>
      </c>
      <c r="E183" s="20" t="s">
        <v>872</v>
      </c>
      <c r="F183" s="20"/>
      <c r="G183" s="397">
        <f>G184+G186</f>
        <v>5856.1</v>
      </c>
      <c r="H183" s="397">
        <f>H184+H186</f>
        <v>5856.1</v>
      </c>
      <c r="I183" s="192"/>
    </row>
    <row r="184" spans="1:9" ht="78.75" x14ac:dyDescent="0.25">
      <c r="A184" s="396" t="s">
        <v>127</v>
      </c>
      <c r="B184" s="16">
        <v>902</v>
      </c>
      <c r="C184" s="20" t="s">
        <v>215</v>
      </c>
      <c r="D184" s="20" t="s">
        <v>244</v>
      </c>
      <c r="E184" s="20" t="s">
        <v>872</v>
      </c>
      <c r="F184" s="20" t="s">
        <v>128</v>
      </c>
      <c r="G184" s="397">
        <f>G185</f>
        <v>5693.1</v>
      </c>
      <c r="H184" s="397">
        <f t="shared" si="11"/>
        <v>5693.1</v>
      </c>
      <c r="I184" s="192"/>
    </row>
    <row r="185" spans="1:9" ht="15.75" x14ac:dyDescent="0.25">
      <c r="A185" s="396" t="s">
        <v>208</v>
      </c>
      <c r="B185" s="16">
        <v>902</v>
      </c>
      <c r="C185" s="20" t="s">
        <v>215</v>
      </c>
      <c r="D185" s="20" t="s">
        <v>244</v>
      </c>
      <c r="E185" s="20" t="s">
        <v>872</v>
      </c>
      <c r="F185" s="20" t="s">
        <v>209</v>
      </c>
      <c r="G185" s="397">
        <v>5693.1</v>
      </c>
      <c r="H185" s="397">
        <f t="shared" si="11"/>
        <v>5693.1</v>
      </c>
      <c r="I185" s="192"/>
    </row>
    <row r="186" spans="1:9" ht="31.5" x14ac:dyDescent="0.25">
      <c r="A186" s="396" t="s">
        <v>198</v>
      </c>
      <c r="B186" s="16">
        <v>902</v>
      </c>
      <c r="C186" s="20" t="s">
        <v>215</v>
      </c>
      <c r="D186" s="20" t="s">
        <v>244</v>
      </c>
      <c r="E186" s="20" t="s">
        <v>872</v>
      </c>
      <c r="F186" s="20" t="s">
        <v>132</v>
      </c>
      <c r="G186" s="397">
        <f>G187</f>
        <v>163</v>
      </c>
      <c r="H186" s="397">
        <f>H187</f>
        <v>163</v>
      </c>
      <c r="I186" s="192"/>
    </row>
    <row r="187" spans="1:9" ht="31.5" x14ac:dyDescent="0.25">
      <c r="A187" s="396" t="s">
        <v>133</v>
      </c>
      <c r="B187" s="16">
        <v>902</v>
      </c>
      <c r="C187" s="20" t="s">
        <v>215</v>
      </c>
      <c r="D187" s="20" t="s">
        <v>244</v>
      </c>
      <c r="E187" s="20" t="s">
        <v>872</v>
      </c>
      <c r="F187" s="20" t="s">
        <v>134</v>
      </c>
      <c r="G187" s="397">
        <f>163</f>
        <v>163</v>
      </c>
      <c r="H187" s="397">
        <f t="shared" si="11"/>
        <v>163</v>
      </c>
      <c r="I187" s="192"/>
    </row>
    <row r="188" spans="1:9" ht="47.25" x14ac:dyDescent="0.25">
      <c r="A188" s="396" t="s">
        <v>838</v>
      </c>
      <c r="B188" s="16">
        <v>902</v>
      </c>
      <c r="C188" s="20" t="s">
        <v>215</v>
      </c>
      <c r="D188" s="20" t="s">
        <v>244</v>
      </c>
      <c r="E188" s="20" t="s">
        <v>873</v>
      </c>
      <c r="F188" s="20"/>
      <c r="G188" s="397">
        <f>G189</f>
        <v>252</v>
      </c>
      <c r="H188" s="397">
        <f>H189</f>
        <v>252</v>
      </c>
      <c r="I188" s="192"/>
    </row>
    <row r="189" spans="1:9" ht="78.75" x14ac:dyDescent="0.25">
      <c r="A189" s="396" t="s">
        <v>127</v>
      </c>
      <c r="B189" s="16">
        <v>902</v>
      </c>
      <c r="C189" s="20" t="s">
        <v>215</v>
      </c>
      <c r="D189" s="20" t="s">
        <v>244</v>
      </c>
      <c r="E189" s="20" t="s">
        <v>873</v>
      </c>
      <c r="F189" s="20" t="s">
        <v>128</v>
      </c>
      <c r="G189" s="397">
        <f>G190</f>
        <v>252</v>
      </c>
      <c r="H189" s="397">
        <f>H190</f>
        <v>252</v>
      </c>
      <c r="I189" s="192"/>
    </row>
    <row r="190" spans="1:9" ht="19.5" customHeight="1" x14ac:dyDescent="0.25">
      <c r="A190" s="396" t="s">
        <v>208</v>
      </c>
      <c r="B190" s="16">
        <v>902</v>
      </c>
      <c r="C190" s="20" t="s">
        <v>215</v>
      </c>
      <c r="D190" s="20" t="s">
        <v>244</v>
      </c>
      <c r="E190" s="20" t="s">
        <v>873</v>
      </c>
      <c r="F190" s="20" t="s">
        <v>209</v>
      </c>
      <c r="G190" s="397">
        <f>252</f>
        <v>252</v>
      </c>
      <c r="H190" s="397">
        <f t="shared" si="11"/>
        <v>252</v>
      </c>
      <c r="I190" s="192"/>
    </row>
    <row r="191" spans="1:9" ht="15.75" x14ac:dyDescent="0.25">
      <c r="A191" s="394" t="s">
        <v>232</v>
      </c>
      <c r="B191" s="19">
        <v>902</v>
      </c>
      <c r="C191" s="24" t="s">
        <v>150</v>
      </c>
      <c r="D191" s="24"/>
      <c r="E191" s="24"/>
      <c r="F191" s="20"/>
      <c r="G191" s="393">
        <f>G205+G192</f>
        <v>688.2</v>
      </c>
      <c r="H191" s="393">
        <f>H205+H192</f>
        <v>698.8</v>
      </c>
      <c r="I191" s="192"/>
    </row>
    <row r="192" spans="1:9" ht="15.75" x14ac:dyDescent="0.25">
      <c r="A192" s="394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393">
        <f>G193</f>
        <v>274</v>
      </c>
      <c r="H192" s="393">
        <f>H193</f>
        <v>274</v>
      </c>
      <c r="I192" s="192"/>
    </row>
    <row r="193" spans="1:9" ht="31.5" x14ac:dyDescent="0.25">
      <c r="A193" s="34" t="s">
        <v>1343</v>
      </c>
      <c r="B193" s="19">
        <v>902</v>
      </c>
      <c r="C193" s="24" t="s">
        <v>150</v>
      </c>
      <c r="D193" s="24" t="s">
        <v>234</v>
      </c>
      <c r="E193" s="187" t="s">
        <v>182</v>
      </c>
      <c r="F193" s="206"/>
      <c r="G193" s="393">
        <f>G194+G201</f>
        <v>274</v>
      </c>
      <c r="H193" s="393">
        <f>H194+H201</f>
        <v>274</v>
      </c>
      <c r="I193" s="192"/>
    </row>
    <row r="194" spans="1:9" ht="31.5" x14ac:dyDescent="0.25">
      <c r="A194" s="34" t="s">
        <v>1005</v>
      </c>
      <c r="B194" s="19">
        <v>902</v>
      </c>
      <c r="C194" s="24" t="s">
        <v>150</v>
      </c>
      <c r="D194" s="24" t="s">
        <v>234</v>
      </c>
      <c r="E194" s="233" t="s">
        <v>876</v>
      </c>
      <c r="F194" s="206"/>
      <c r="G194" s="393">
        <f>G195+G198</f>
        <v>274</v>
      </c>
      <c r="H194" s="393">
        <f>H195+H198</f>
        <v>274</v>
      </c>
      <c r="I194" s="192"/>
    </row>
    <row r="195" spans="1:9" ht="31.5" x14ac:dyDescent="0.25">
      <c r="A195" s="396" t="s">
        <v>235</v>
      </c>
      <c r="B195" s="16">
        <v>902</v>
      </c>
      <c r="C195" s="20" t="s">
        <v>150</v>
      </c>
      <c r="D195" s="20" t="s">
        <v>234</v>
      </c>
      <c r="E195" s="20" t="s">
        <v>897</v>
      </c>
      <c r="F195" s="32"/>
      <c r="G195" s="397">
        <f>G196</f>
        <v>274</v>
      </c>
      <c r="H195" s="397">
        <f>H196</f>
        <v>274</v>
      </c>
      <c r="I195" s="192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897</v>
      </c>
      <c r="F196" s="32" t="s">
        <v>145</v>
      </c>
      <c r="G196" s="397">
        <f>G197</f>
        <v>274</v>
      </c>
      <c r="H196" s="397">
        <f>H197</f>
        <v>274</v>
      </c>
      <c r="I196" s="192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897</v>
      </c>
      <c r="F197" s="32" t="s">
        <v>160</v>
      </c>
      <c r="G197" s="397">
        <f>19+255</f>
        <v>274</v>
      </c>
      <c r="H197" s="397">
        <f>19+255</f>
        <v>274</v>
      </c>
      <c r="I197" s="192"/>
    </row>
    <row r="198" spans="1:9" ht="31.5" hidden="1" x14ac:dyDescent="0.25">
      <c r="A198" s="396" t="s">
        <v>235</v>
      </c>
      <c r="B198" s="16">
        <v>902</v>
      </c>
      <c r="C198" s="20" t="s">
        <v>150</v>
      </c>
      <c r="D198" s="20" t="s">
        <v>234</v>
      </c>
      <c r="E198" s="20" t="s">
        <v>879</v>
      </c>
      <c r="F198" s="20"/>
      <c r="G198" s="397">
        <f>G199</f>
        <v>0</v>
      </c>
      <c r="H198" s="397">
        <f>H199</f>
        <v>0</v>
      </c>
      <c r="I198" s="192"/>
    </row>
    <row r="199" spans="1:9" ht="15.75" hidden="1" x14ac:dyDescent="0.25">
      <c r="A199" s="396" t="s">
        <v>135</v>
      </c>
      <c r="B199" s="16">
        <v>902</v>
      </c>
      <c r="C199" s="20" t="s">
        <v>150</v>
      </c>
      <c r="D199" s="20" t="s">
        <v>234</v>
      </c>
      <c r="E199" s="20" t="s">
        <v>879</v>
      </c>
      <c r="F199" s="20" t="s">
        <v>145</v>
      </c>
      <c r="G199" s="397">
        <f>G200</f>
        <v>0</v>
      </c>
      <c r="H199" s="397">
        <f>H200</f>
        <v>0</v>
      </c>
      <c r="I199" s="192"/>
    </row>
    <row r="200" spans="1:9" ht="47.25" hidden="1" x14ac:dyDescent="0.25">
      <c r="A200" s="396" t="s">
        <v>184</v>
      </c>
      <c r="B200" s="16">
        <v>902</v>
      </c>
      <c r="C200" s="20" t="s">
        <v>150</v>
      </c>
      <c r="D200" s="20" t="s">
        <v>234</v>
      </c>
      <c r="E200" s="20" t="s">
        <v>879</v>
      </c>
      <c r="F200" s="20" t="s">
        <v>160</v>
      </c>
      <c r="G200" s="397"/>
      <c r="H200" s="397"/>
      <c r="I200" s="192"/>
    </row>
    <row r="201" spans="1:9" ht="47.25" hidden="1" x14ac:dyDescent="0.25">
      <c r="A201" s="198" t="s">
        <v>1006</v>
      </c>
      <c r="B201" s="19">
        <v>902</v>
      </c>
      <c r="C201" s="24" t="s">
        <v>150</v>
      </c>
      <c r="D201" s="24" t="s">
        <v>234</v>
      </c>
      <c r="E201" s="187" t="s">
        <v>878</v>
      </c>
      <c r="F201" s="206"/>
      <c r="G201" s="393">
        <f t="shared" ref="G201:H203" si="12">G202</f>
        <v>0</v>
      </c>
      <c r="H201" s="393">
        <f t="shared" si="12"/>
        <v>0</v>
      </c>
      <c r="I201" s="192"/>
    </row>
    <row r="202" spans="1:9" ht="15.75" hidden="1" x14ac:dyDescent="0.25">
      <c r="A202" s="396" t="s">
        <v>877</v>
      </c>
      <c r="B202" s="16">
        <v>902</v>
      </c>
      <c r="C202" s="20" t="s">
        <v>150</v>
      </c>
      <c r="D202" s="20" t="s">
        <v>234</v>
      </c>
      <c r="E202" s="5" t="s">
        <v>898</v>
      </c>
      <c r="F202" s="32"/>
      <c r="G202" s="397">
        <f t="shared" si="12"/>
        <v>0</v>
      </c>
      <c r="H202" s="397">
        <f t="shared" si="12"/>
        <v>0</v>
      </c>
      <c r="I202" s="192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898</v>
      </c>
      <c r="F203" s="32" t="s">
        <v>145</v>
      </c>
      <c r="G203" s="397">
        <f t="shared" si="12"/>
        <v>0</v>
      </c>
      <c r="H203" s="397">
        <f t="shared" si="12"/>
        <v>0</v>
      </c>
      <c r="I203" s="192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898</v>
      </c>
      <c r="F204" s="32" t="s">
        <v>160</v>
      </c>
      <c r="G204" s="397">
        <v>0</v>
      </c>
      <c r="H204" s="397">
        <v>0</v>
      </c>
      <c r="I204" s="192"/>
    </row>
    <row r="205" spans="1:9" ht="31.5" x14ac:dyDescent="0.25">
      <c r="A205" s="394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393">
        <f>G206+G213</f>
        <v>414.2</v>
      </c>
      <c r="H205" s="393">
        <f>H206+H213</f>
        <v>424.8</v>
      </c>
      <c r="I205" s="192"/>
    </row>
    <row r="206" spans="1:9" ht="31.5" x14ac:dyDescent="0.25">
      <c r="A206" s="394" t="s">
        <v>916</v>
      </c>
      <c r="B206" s="19">
        <v>902</v>
      </c>
      <c r="C206" s="24" t="s">
        <v>150</v>
      </c>
      <c r="D206" s="24" t="s">
        <v>238</v>
      </c>
      <c r="E206" s="24" t="s">
        <v>857</v>
      </c>
      <c r="F206" s="24"/>
      <c r="G206" s="393">
        <f>G207</f>
        <v>264.2</v>
      </c>
      <c r="H206" s="393">
        <f>H207</f>
        <v>274.8</v>
      </c>
      <c r="I206" s="192"/>
    </row>
    <row r="207" spans="1:9" ht="31.5" x14ac:dyDescent="0.25">
      <c r="A207" s="394" t="s">
        <v>884</v>
      </c>
      <c r="B207" s="19">
        <v>902</v>
      </c>
      <c r="C207" s="24" t="s">
        <v>150</v>
      </c>
      <c r="D207" s="24" t="s">
        <v>238</v>
      </c>
      <c r="E207" s="24" t="s">
        <v>862</v>
      </c>
      <c r="F207" s="24"/>
      <c r="G207" s="393">
        <f>G208</f>
        <v>264.2</v>
      </c>
      <c r="H207" s="393">
        <f>H208</f>
        <v>274.8</v>
      </c>
      <c r="I207" s="192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923</v>
      </c>
      <c r="F208" s="20"/>
      <c r="G208" s="397">
        <f>G209+G211</f>
        <v>264.2</v>
      </c>
      <c r="H208" s="397">
        <f>H209+H211</f>
        <v>274.8</v>
      </c>
      <c r="I208" s="192"/>
    </row>
    <row r="209" spans="1:9" ht="78.75" x14ac:dyDescent="0.25">
      <c r="A209" s="396" t="s">
        <v>127</v>
      </c>
      <c r="B209" s="16">
        <v>902</v>
      </c>
      <c r="C209" s="20" t="s">
        <v>150</v>
      </c>
      <c r="D209" s="20" t="s">
        <v>238</v>
      </c>
      <c r="E209" s="20" t="s">
        <v>923</v>
      </c>
      <c r="F209" s="20" t="s">
        <v>128</v>
      </c>
      <c r="G209" s="397">
        <f>G210</f>
        <v>205.8</v>
      </c>
      <c r="H209" s="397">
        <f>H210</f>
        <v>205.8</v>
      </c>
      <c r="I209" s="192"/>
    </row>
    <row r="210" spans="1:9" ht="31.5" x14ac:dyDescent="0.25">
      <c r="A210" s="396" t="s">
        <v>129</v>
      </c>
      <c r="B210" s="16">
        <v>902</v>
      </c>
      <c r="C210" s="20" t="s">
        <v>150</v>
      </c>
      <c r="D210" s="20" t="s">
        <v>238</v>
      </c>
      <c r="E210" s="20" t="s">
        <v>923</v>
      </c>
      <c r="F210" s="20" t="s">
        <v>130</v>
      </c>
      <c r="G210" s="397">
        <f>187+18.8</f>
        <v>205.8</v>
      </c>
      <c r="H210" s="397">
        <f t="shared" si="11"/>
        <v>205.8</v>
      </c>
      <c r="I210" s="192"/>
    </row>
    <row r="211" spans="1:9" ht="31.5" x14ac:dyDescent="0.25">
      <c r="A211" s="396" t="s">
        <v>131</v>
      </c>
      <c r="B211" s="16">
        <v>902</v>
      </c>
      <c r="C211" s="20" t="s">
        <v>150</v>
      </c>
      <c r="D211" s="20" t="s">
        <v>238</v>
      </c>
      <c r="E211" s="20" t="s">
        <v>923</v>
      </c>
      <c r="F211" s="20" t="s">
        <v>132</v>
      </c>
      <c r="G211" s="397">
        <f>G212</f>
        <v>58.4</v>
      </c>
      <c r="H211" s="397">
        <f>H212</f>
        <v>69</v>
      </c>
      <c r="I211" s="192"/>
    </row>
    <row r="212" spans="1:9" ht="31.5" x14ac:dyDescent="0.25">
      <c r="A212" s="396" t="s">
        <v>133</v>
      </c>
      <c r="B212" s="16">
        <v>902</v>
      </c>
      <c r="C212" s="20" t="s">
        <v>150</v>
      </c>
      <c r="D212" s="20" t="s">
        <v>238</v>
      </c>
      <c r="E212" s="20" t="s">
        <v>923</v>
      </c>
      <c r="F212" s="20" t="s">
        <v>134</v>
      </c>
      <c r="G212" s="397">
        <f>101.8-43.4</f>
        <v>58.4</v>
      </c>
      <c r="H212" s="397">
        <v>69</v>
      </c>
      <c r="I212" s="192"/>
    </row>
    <row r="213" spans="1:9" ht="47.25" x14ac:dyDescent="0.25">
      <c r="A213" s="394" t="s">
        <v>1335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393">
        <f t="shared" ref="G213:H215" si="13">G214</f>
        <v>150</v>
      </c>
      <c r="H213" s="393">
        <f t="shared" si="13"/>
        <v>150</v>
      </c>
      <c r="I213" s="192"/>
    </row>
    <row r="214" spans="1:9" ht="47.25" x14ac:dyDescent="0.25">
      <c r="A214" s="394" t="s">
        <v>1065</v>
      </c>
      <c r="B214" s="19">
        <v>902</v>
      </c>
      <c r="C214" s="24" t="s">
        <v>150</v>
      </c>
      <c r="D214" s="24" t="s">
        <v>238</v>
      </c>
      <c r="E214" s="24" t="s">
        <v>1062</v>
      </c>
      <c r="F214" s="24"/>
      <c r="G214" s="393">
        <f t="shared" si="13"/>
        <v>150</v>
      </c>
      <c r="H214" s="393">
        <f t="shared" si="13"/>
        <v>150</v>
      </c>
      <c r="I214" s="192"/>
    </row>
    <row r="215" spans="1:9" ht="31.5" x14ac:dyDescent="0.25">
      <c r="A215" s="396" t="s">
        <v>1066</v>
      </c>
      <c r="B215" s="16">
        <v>902</v>
      </c>
      <c r="C215" s="20" t="s">
        <v>150</v>
      </c>
      <c r="D215" s="20" t="s">
        <v>238</v>
      </c>
      <c r="E215" s="20" t="s">
        <v>1063</v>
      </c>
      <c r="F215" s="20"/>
      <c r="G215" s="397">
        <f t="shared" si="13"/>
        <v>150</v>
      </c>
      <c r="H215" s="397">
        <f t="shared" si="13"/>
        <v>150</v>
      </c>
      <c r="I215" s="192"/>
    </row>
    <row r="216" spans="1:9" ht="15.75" x14ac:dyDescent="0.25">
      <c r="A216" s="396" t="s">
        <v>135</v>
      </c>
      <c r="B216" s="16">
        <v>902</v>
      </c>
      <c r="C216" s="20" t="s">
        <v>150</v>
      </c>
      <c r="D216" s="20" t="s">
        <v>238</v>
      </c>
      <c r="E216" s="20" t="s">
        <v>1063</v>
      </c>
      <c r="F216" s="20" t="s">
        <v>145</v>
      </c>
      <c r="G216" s="397">
        <f>G217</f>
        <v>150</v>
      </c>
      <c r="H216" s="397">
        <f t="shared" si="11"/>
        <v>150</v>
      </c>
      <c r="I216" s="192"/>
    </row>
    <row r="217" spans="1:9" ht="47.25" x14ac:dyDescent="0.25">
      <c r="A217" s="396" t="s">
        <v>184</v>
      </c>
      <c r="B217" s="16">
        <v>902</v>
      </c>
      <c r="C217" s="20" t="s">
        <v>150</v>
      </c>
      <c r="D217" s="20" t="s">
        <v>238</v>
      </c>
      <c r="E217" s="20" t="s">
        <v>1063</v>
      </c>
      <c r="F217" s="20" t="s">
        <v>160</v>
      </c>
      <c r="G217" s="397">
        <v>150</v>
      </c>
      <c r="H217" s="397">
        <f t="shared" si="11"/>
        <v>150</v>
      </c>
      <c r="I217" s="192"/>
    </row>
    <row r="218" spans="1:9" ht="15.75" x14ac:dyDescent="0.25">
      <c r="A218" s="394" t="s">
        <v>243</v>
      </c>
      <c r="B218" s="19">
        <v>902</v>
      </c>
      <c r="C218" s="24" t="s">
        <v>244</v>
      </c>
      <c r="D218" s="24"/>
      <c r="E218" s="24"/>
      <c r="F218" s="24"/>
      <c r="G218" s="393">
        <f>G219+G225+G234</f>
        <v>13475.699999999999</v>
      </c>
      <c r="H218" s="393">
        <f>H219+H225+H234</f>
        <v>13431.699999999999</v>
      </c>
      <c r="I218" s="192"/>
    </row>
    <row r="219" spans="1:9" ht="15.75" x14ac:dyDescent="0.25">
      <c r="A219" s="394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393">
        <f t="shared" ref="G219:H219" si="14">G220</f>
        <v>9815.2999999999993</v>
      </c>
      <c r="H219" s="393">
        <f t="shared" si="14"/>
        <v>9815.2999999999993</v>
      </c>
      <c r="I219" s="192"/>
    </row>
    <row r="220" spans="1:9" ht="15.75" x14ac:dyDescent="0.25">
      <c r="A220" s="394" t="s">
        <v>141</v>
      </c>
      <c r="B220" s="19">
        <v>902</v>
      </c>
      <c r="C220" s="24" t="s">
        <v>244</v>
      </c>
      <c r="D220" s="24" t="s">
        <v>118</v>
      </c>
      <c r="E220" s="24" t="s">
        <v>865</v>
      </c>
      <c r="F220" s="24"/>
      <c r="G220" s="393">
        <f t="shared" ref="G220:H223" si="15">G221</f>
        <v>9815.2999999999993</v>
      </c>
      <c r="H220" s="393">
        <f t="shared" si="15"/>
        <v>9815.2999999999993</v>
      </c>
      <c r="I220" s="192"/>
    </row>
    <row r="221" spans="1:9" ht="31.5" x14ac:dyDescent="0.25">
      <c r="A221" s="394" t="s">
        <v>869</v>
      </c>
      <c r="B221" s="19">
        <v>902</v>
      </c>
      <c r="C221" s="24" t="s">
        <v>244</v>
      </c>
      <c r="D221" s="24" t="s">
        <v>118</v>
      </c>
      <c r="E221" s="24" t="s">
        <v>864</v>
      </c>
      <c r="F221" s="24"/>
      <c r="G221" s="393">
        <f t="shared" si="15"/>
        <v>9815.2999999999993</v>
      </c>
      <c r="H221" s="393">
        <f t="shared" si="15"/>
        <v>9815.2999999999993</v>
      </c>
      <c r="I221" s="192"/>
    </row>
    <row r="222" spans="1:9" ht="15.75" x14ac:dyDescent="0.25">
      <c r="A222" s="396" t="s">
        <v>246</v>
      </c>
      <c r="B222" s="16">
        <v>902</v>
      </c>
      <c r="C222" s="20" t="s">
        <v>244</v>
      </c>
      <c r="D222" s="20" t="s">
        <v>118</v>
      </c>
      <c r="E222" s="20" t="s">
        <v>880</v>
      </c>
      <c r="F222" s="20"/>
      <c r="G222" s="397">
        <f t="shared" si="15"/>
        <v>9815.2999999999993</v>
      </c>
      <c r="H222" s="397">
        <f t="shared" si="15"/>
        <v>9815.2999999999993</v>
      </c>
      <c r="I222" s="192"/>
    </row>
    <row r="223" spans="1:9" ht="22.7" customHeight="1" x14ac:dyDescent="0.25">
      <c r="A223" s="396" t="s">
        <v>248</v>
      </c>
      <c r="B223" s="16">
        <v>902</v>
      </c>
      <c r="C223" s="20" t="s">
        <v>244</v>
      </c>
      <c r="D223" s="20" t="s">
        <v>118</v>
      </c>
      <c r="E223" s="20" t="s">
        <v>880</v>
      </c>
      <c r="F223" s="20" t="s">
        <v>249</v>
      </c>
      <c r="G223" s="397">
        <f t="shared" si="15"/>
        <v>9815.2999999999993</v>
      </c>
      <c r="H223" s="397">
        <f t="shared" si="15"/>
        <v>9815.2999999999993</v>
      </c>
      <c r="I223" s="192"/>
    </row>
    <row r="224" spans="1:9" ht="31.5" x14ac:dyDescent="0.25">
      <c r="A224" s="396" t="s">
        <v>348</v>
      </c>
      <c r="B224" s="16">
        <v>902</v>
      </c>
      <c r="C224" s="20" t="s">
        <v>244</v>
      </c>
      <c r="D224" s="20" t="s">
        <v>118</v>
      </c>
      <c r="E224" s="20" t="s">
        <v>880</v>
      </c>
      <c r="F224" s="20" t="s">
        <v>349</v>
      </c>
      <c r="G224" s="397">
        <v>9815.2999999999993</v>
      </c>
      <c r="H224" s="397">
        <f t="shared" si="11"/>
        <v>9815.2999999999993</v>
      </c>
      <c r="I224" s="192"/>
    </row>
    <row r="225" spans="1:9" ht="15.75" x14ac:dyDescent="0.25">
      <c r="A225" s="394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393">
        <f>G226</f>
        <v>10</v>
      </c>
      <c r="H225" s="393">
        <f>H226</f>
        <v>10</v>
      </c>
      <c r="I225" s="192"/>
    </row>
    <row r="226" spans="1:9" ht="63" x14ac:dyDescent="0.25">
      <c r="A226" s="394" t="s">
        <v>1345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393">
        <f>G227</f>
        <v>10</v>
      </c>
      <c r="H226" s="393">
        <f>H227</f>
        <v>10</v>
      </c>
      <c r="I226" s="192"/>
    </row>
    <row r="227" spans="1:9" ht="47.25" x14ac:dyDescent="0.25">
      <c r="A227" s="394" t="s">
        <v>883</v>
      </c>
      <c r="B227" s="19">
        <v>902</v>
      </c>
      <c r="C227" s="24" t="s">
        <v>244</v>
      </c>
      <c r="D227" s="24" t="s">
        <v>215</v>
      </c>
      <c r="E227" s="24" t="s">
        <v>881</v>
      </c>
      <c r="F227" s="24"/>
      <c r="G227" s="393">
        <f>G228+G231</f>
        <v>10</v>
      </c>
      <c r="H227" s="393">
        <f>H228+H231</f>
        <v>10</v>
      </c>
      <c r="I227" s="192"/>
    </row>
    <row r="228" spans="1:9" ht="31.5" x14ac:dyDescent="0.25">
      <c r="A228" s="396" t="s">
        <v>882</v>
      </c>
      <c r="B228" s="16">
        <v>902</v>
      </c>
      <c r="C228" s="20" t="s">
        <v>244</v>
      </c>
      <c r="D228" s="20" t="s">
        <v>215</v>
      </c>
      <c r="E228" s="20" t="s">
        <v>1186</v>
      </c>
      <c r="F228" s="20"/>
      <c r="G228" s="397">
        <f>G229</f>
        <v>10</v>
      </c>
      <c r="H228" s="397">
        <f>H229</f>
        <v>10</v>
      </c>
      <c r="I228" s="192"/>
    </row>
    <row r="229" spans="1:9" ht="19.5" customHeight="1" x14ac:dyDescent="0.25">
      <c r="A229" s="396" t="s">
        <v>248</v>
      </c>
      <c r="B229" s="16">
        <v>902</v>
      </c>
      <c r="C229" s="20" t="s">
        <v>244</v>
      </c>
      <c r="D229" s="20" t="s">
        <v>215</v>
      </c>
      <c r="E229" s="20" t="s">
        <v>1186</v>
      </c>
      <c r="F229" s="20" t="s">
        <v>249</v>
      </c>
      <c r="G229" s="397">
        <f>G230</f>
        <v>10</v>
      </c>
      <c r="H229" s="397">
        <f>H230</f>
        <v>10</v>
      </c>
      <c r="I229" s="192"/>
    </row>
    <row r="230" spans="1:9" ht="31.5" x14ac:dyDescent="0.25">
      <c r="A230" s="396" t="s">
        <v>250</v>
      </c>
      <c r="B230" s="16">
        <v>902</v>
      </c>
      <c r="C230" s="20" t="s">
        <v>244</v>
      </c>
      <c r="D230" s="20" t="s">
        <v>215</v>
      </c>
      <c r="E230" s="20" t="s">
        <v>1186</v>
      </c>
      <c r="F230" s="20" t="s">
        <v>251</v>
      </c>
      <c r="G230" s="397">
        <f>10</f>
        <v>10</v>
      </c>
      <c r="H230" s="397">
        <f t="shared" si="11"/>
        <v>10</v>
      </c>
      <c r="I230" s="192"/>
    </row>
    <row r="231" spans="1:9" s="191" customFormat="1" ht="63" hidden="1" x14ac:dyDescent="0.25">
      <c r="A231" s="396" t="s">
        <v>1185</v>
      </c>
      <c r="B231" s="16">
        <v>902</v>
      </c>
      <c r="C231" s="20" t="s">
        <v>244</v>
      </c>
      <c r="D231" s="20" t="s">
        <v>215</v>
      </c>
      <c r="E231" s="20" t="s">
        <v>1173</v>
      </c>
      <c r="F231" s="20"/>
      <c r="G231" s="397">
        <f>G232</f>
        <v>0</v>
      </c>
      <c r="H231" s="397">
        <f>H232</f>
        <v>0</v>
      </c>
      <c r="I231" s="192"/>
    </row>
    <row r="232" spans="1:9" s="191" customFormat="1" ht="20.25" hidden="1" customHeight="1" x14ac:dyDescent="0.25">
      <c r="A232" s="396" t="s">
        <v>248</v>
      </c>
      <c r="B232" s="16">
        <v>902</v>
      </c>
      <c r="C232" s="20" t="s">
        <v>244</v>
      </c>
      <c r="D232" s="20" t="s">
        <v>215</v>
      </c>
      <c r="E232" s="20" t="s">
        <v>1173</v>
      </c>
      <c r="F232" s="20" t="s">
        <v>249</v>
      </c>
      <c r="G232" s="397">
        <f>G233</f>
        <v>0</v>
      </c>
      <c r="H232" s="397">
        <f>H233</f>
        <v>0</v>
      </c>
      <c r="I232" s="192"/>
    </row>
    <row r="233" spans="1:9" s="191" customFormat="1" ht="31.5" hidden="1" x14ac:dyDescent="0.25">
      <c r="A233" s="396" t="s">
        <v>250</v>
      </c>
      <c r="B233" s="16">
        <v>902</v>
      </c>
      <c r="C233" s="20" t="s">
        <v>244</v>
      </c>
      <c r="D233" s="20" t="s">
        <v>215</v>
      </c>
      <c r="E233" s="20" t="s">
        <v>1173</v>
      </c>
      <c r="F233" s="20" t="s">
        <v>251</v>
      </c>
      <c r="G233" s="397">
        <v>0</v>
      </c>
      <c r="H233" s="397">
        <v>0</v>
      </c>
      <c r="I233" s="192"/>
    </row>
    <row r="234" spans="1:9" ht="15.75" x14ac:dyDescent="0.25">
      <c r="A234" s="394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393">
        <f t="shared" ref="G234:H236" si="16">G235</f>
        <v>3650.4</v>
      </c>
      <c r="H234" s="393">
        <f t="shared" si="16"/>
        <v>3606.4</v>
      </c>
      <c r="I234" s="192"/>
    </row>
    <row r="235" spans="1:9" ht="31.5" x14ac:dyDescent="0.25">
      <c r="A235" s="394" t="s">
        <v>916</v>
      </c>
      <c r="B235" s="19">
        <v>902</v>
      </c>
      <c r="C235" s="24" t="s">
        <v>244</v>
      </c>
      <c r="D235" s="24" t="s">
        <v>120</v>
      </c>
      <c r="E235" s="24" t="s">
        <v>857</v>
      </c>
      <c r="F235" s="24"/>
      <c r="G235" s="393">
        <f t="shared" si="16"/>
        <v>3650.4</v>
      </c>
      <c r="H235" s="393">
        <f t="shared" si="16"/>
        <v>3606.4</v>
      </c>
      <c r="I235" s="192"/>
    </row>
    <row r="236" spans="1:9" ht="31.5" x14ac:dyDescent="0.25">
      <c r="A236" s="394" t="s">
        <v>884</v>
      </c>
      <c r="B236" s="19">
        <v>902</v>
      </c>
      <c r="C236" s="24" t="s">
        <v>244</v>
      </c>
      <c r="D236" s="24" t="s">
        <v>120</v>
      </c>
      <c r="E236" s="24" t="s">
        <v>862</v>
      </c>
      <c r="F236" s="24"/>
      <c r="G236" s="393">
        <f t="shared" si="16"/>
        <v>3650.4</v>
      </c>
      <c r="H236" s="393">
        <f t="shared" si="16"/>
        <v>3606.4</v>
      </c>
      <c r="I236" s="192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924</v>
      </c>
      <c r="F237" s="20"/>
      <c r="G237" s="397">
        <f>G238+G240</f>
        <v>3650.4</v>
      </c>
      <c r="H237" s="397">
        <f>H238+H240</f>
        <v>3606.4</v>
      </c>
      <c r="I237" s="192"/>
    </row>
    <row r="238" spans="1:9" ht="78.75" x14ac:dyDescent="0.25">
      <c r="A238" s="396" t="s">
        <v>127</v>
      </c>
      <c r="B238" s="16">
        <v>902</v>
      </c>
      <c r="C238" s="20" t="s">
        <v>244</v>
      </c>
      <c r="D238" s="20" t="s">
        <v>120</v>
      </c>
      <c r="E238" s="20" t="s">
        <v>924</v>
      </c>
      <c r="F238" s="20" t="s">
        <v>128</v>
      </c>
      <c r="G238" s="397">
        <f>G239</f>
        <v>3249.8</v>
      </c>
      <c r="H238" s="397">
        <f>H239</f>
        <v>3205.8</v>
      </c>
      <c r="I238" s="192"/>
    </row>
    <row r="239" spans="1:9" ht="31.5" x14ac:dyDescent="0.25">
      <c r="A239" s="396" t="s">
        <v>129</v>
      </c>
      <c r="B239" s="16">
        <v>902</v>
      </c>
      <c r="C239" s="20" t="s">
        <v>244</v>
      </c>
      <c r="D239" s="20" t="s">
        <v>120</v>
      </c>
      <c r="E239" s="20" t="s">
        <v>924</v>
      </c>
      <c r="F239" s="20" t="s">
        <v>130</v>
      </c>
      <c r="G239" s="397">
        <v>3249.8</v>
      </c>
      <c r="H239" s="397">
        <v>3205.8</v>
      </c>
      <c r="I239" s="192"/>
    </row>
    <row r="240" spans="1:9" ht="31.5" x14ac:dyDescent="0.25">
      <c r="A240" s="396" t="s">
        <v>131</v>
      </c>
      <c r="B240" s="16">
        <v>902</v>
      </c>
      <c r="C240" s="20" t="s">
        <v>244</v>
      </c>
      <c r="D240" s="20" t="s">
        <v>120</v>
      </c>
      <c r="E240" s="20" t="s">
        <v>924</v>
      </c>
      <c r="F240" s="20" t="s">
        <v>132</v>
      </c>
      <c r="G240" s="397">
        <f>G241</f>
        <v>400.6</v>
      </c>
      <c r="H240" s="397">
        <f>H241</f>
        <v>400.6</v>
      </c>
      <c r="I240" s="192"/>
    </row>
    <row r="241" spans="1:12" ht="31.5" x14ac:dyDescent="0.25">
      <c r="A241" s="396" t="s">
        <v>133</v>
      </c>
      <c r="B241" s="16">
        <v>902</v>
      </c>
      <c r="C241" s="20" t="s">
        <v>244</v>
      </c>
      <c r="D241" s="20" t="s">
        <v>120</v>
      </c>
      <c r="E241" s="20" t="s">
        <v>924</v>
      </c>
      <c r="F241" s="20" t="s">
        <v>134</v>
      </c>
      <c r="G241" s="397">
        <v>400.6</v>
      </c>
      <c r="H241" s="397">
        <f t="shared" si="11"/>
        <v>400.6</v>
      </c>
      <c r="I241" s="192"/>
    </row>
    <row r="242" spans="1:12" ht="47.25" x14ac:dyDescent="0.25">
      <c r="A242" s="391" t="s">
        <v>261</v>
      </c>
      <c r="B242" s="19">
        <v>903</v>
      </c>
      <c r="C242" s="20"/>
      <c r="D242" s="20"/>
      <c r="E242" s="20"/>
      <c r="F242" s="20"/>
      <c r="G242" s="393">
        <f>G293+G357+G445+G243+G273+G468</f>
        <v>104757.7</v>
      </c>
      <c r="H242" s="393">
        <f>H293+H357+H445+H243+H273+H468</f>
        <v>107824.2</v>
      </c>
      <c r="I242" s="192"/>
    </row>
    <row r="243" spans="1:12" ht="15.75" x14ac:dyDescent="0.25">
      <c r="A243" s="394" t="s">
        <v>117</v>
      </c>
      <c r="B243" s="19">
        <v>903</v>
      </c>
      <c r="C243" s="24" t="s">
        <v>118</v>
      </c>
      <c r="D243" s="20"/>
      <c r="E243" s="20"/>
      <c r="F243" s="20"/>
      <c r="G243" s="393">
        <f>G244</f>
        <v>225</v>
      </c>
      <c r="H243" s="393">
        <f>H244</f>
        <v>625</v>
      </c>
      <c r="I243" s="192"/>
    </row>
    <row r="244" spans="1:12" ht="15.75" x14ac:dyDescent="0.25">
      <c r="A244" s="394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393">
        <f>G245+G251+G268</f>
        <v>225</v>
      </c>
      <c r="H244" s="393">
        <f>H245+H251+H268</f>
        <v>625</v>
      </c>
      <c r="I244" s="192"/>
    </row>
    <row r="245" spans="1:12" ht="47.25" x14ac:dyDescent="0.25">
      <c r="A245" s="394" t="s">
        <v>1365</v>
      </c>
      <c r="B245" s="19">
        <v>903</v>
      </c>
      <c r="C245" s="8" t="s">
        <v>118</v>
      </c>
      <c r="D245" s="8" t="s">
        <v>140</v>
      </c>
      <c r="E245" s="187" t="s">
        <v>344</v>
      </c>
      <c r="F245" s="8"/>
      <c r="G245" s="393">
        <f t="shared" ref="G245:H249" si="17">G246</f>
        <v>200</v>
      </c>
      <c r="H245" s="393">
        <f t="shared" si="17"/>
        <v>500</v>
      </c>
      <c r="I245" s="192"/>
      <c r="L245" s="216"/>
    </row>
    <row r="246" spans="1:12" ht="78.75" x14ac:dyDescent="0.25">
      <c r="A246" s="400" t="s">
        <v>1347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393">
        <f t="shared" si="17"/>
        <v>200</v>
      </c>
      <c r="H246" s="393">
        <f t="shared" si="17"/>
        <v>500</v>
      </c>
      <c r="I246" s="192"/>
    </row>
    <row r="247" spans="1:12" ht="63" x14ac:dyDescent="0.25">
      <c r="A247" s="232" t="s">
        <v>1045</v>
      </c>
      <c r="B247" s="19">
        <v>903</v>
      </c>
      <c r="C247" s="7" t="s">
        <v>118</v>
      </c>
      <c r="D247" s="7" t="s">
        <v>140</v>
      </c>
      <c r="E247" s="7" t="s">
        <v>908</v>
      </c>
      <c r="F247" s="7"/>
      <c r="G247" s="393">
        <f t="shared" si="17"/>
        <v>200</v>
      </c>
      <c r="H247" s="393">
        <f t="shared" si="17"/>
        <v>500</v>
      </c>
      <c r="I247" s="192"/>
    </row>
    <row r="248" spans="1:12" ht="31.5" x14ac:dyDescent="0.25">
      <c r="A248" s="98" t="s">
        <v>1046</v>
      </c>
      <c r="B248" s="16">
        <v>903</v>
      </c>
      <c r="C248" s="40" t="s">
        <v>118</v>
      </c>
      <c r="D248" s="40" t="s">
        <v>140</v>
      </c>
      <c r="E248" s="40" t="s">
        <v>1196</v>
      </c>
      <c r="F248" s="40"/>
      <c r="G248" s="397">
        <f t="shared" si="17"/>
        <v>200</v>
      </c>
      <c r="H248" s="397">
        <f t="shared" si="17"/>
        <v>500</v>
      </c>
      <c r="I248" s="192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1196</v>
      </c>
      <c r="F249" s="40" t="s">
        <v>132</v>
      </c>
      <c r="G249" s="397">
        <f t="shared" si="17"/>
        <v>200</v>
      </c>
      <c r="H249" s="397">
        <f t="shared" si="17"/>
        <v>500</v>
      </c>
      <c r="I249" s="192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1196</v>
      </c>
      <c r="F250" s="40" t="s">
        <v>134</v>
      </c>
      <c r="G250" s="397">
        <v>200</v>
      </c>
      <c r="H250" s="397">
        <v>500</v>
      </c>
      <c r="I250" s="192"/>
    </row>
    <row r="251" spans="1:12" ht="47.25" x14ac:dyDescent="0.25">
      <c r="A251" s="394" t="s">
        <v>1348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393">
        <f>G252</f>
        <v>20</v>
      </c>
      <c r="H251" s="393">
        <f>H252</f>
        <v>120</v>
      </c>
      <c r="I251" s="192"/>
    </row>
    <row r="252" spans="1:12" ht="31.5" x14ac:dyDescent="0.25">
      <c r="A252" s="394" t="s">
        <v>1050</v>
      </c>
      <c r="B252" s="19">
        <v>903</v>
      </c>
      <c r="C252" s="24" t="s">
        <v>118</v>
      </c>
      <c r="D252" s="24" t="s">
        <v>140</v>
      </c>
      <c r="E252" s="24" t="s">
        <v>1051</v>
      </c>
      <c r="F252" s="24"/>
      <c r="G252" s="393">
        <f>G253+G262+G256+G259+G265</f>
        <v>20</v>
      </c>
      <c r="H252" s="393">
        <f>H253+H262+H256+H259+H265</f>
        <v>120</v>
      </c>
      <c r="I252" s="192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1052</v>
      </c>
      <c r="F253" s="20"/>
      <c r="G253" s="397">
        <f>'Пр.4 ведом.21'!G273</f>
        <v>0</v>
      </c>
      <c r="H253" s="397">
        <f>H254</f>
        <v>100</v>
      </c>
      <c r="I253" s="192"/>
    </row>
    <row r="254" spans="1:12" ht="31.5" x14ac:dyDescent="0.25">
      <c r="A254" s="396" t="s">
        <v>131</v>
      </c>
      <c r="B254" s="16">
        <v>903</v>
      </c>
      <c r="C254" s="20" t="s">
        <v>118</v>
      </c>
      <c r="D254" s="20" t="s">
        <v>140</v>
      </c>
      <c r="E254" s="20" t="s">
        <v>1052</v>
      </c>
      <c r="F254" s="20" t="s">
        <v>132</v>
      </c>
      <c r="G254" s="397">
        <f>'Пр.4 ведом.21'!G274</f>
        <v>0</v>
      </c>
      <c r="H254" s="397">
        <f>H255</f>
        <v>100</v>
      </c>
      <c r="I254" s="192"/>
    </row>
    <row r="255" spans="1:12" ht="31.5" x14ac:dyDescent="0.25">
      <c r="A255" s="396" t="s">
        <v>133</v>
      </c>
      <c r="B255" s="16">
        <v>903</v>
      </c>
      <c r="C255" s="20" t="s">
        <v>118</v>
      </c>
      <c r="D255" s="20" t="s">
        <v>140</v>
      </c>
      <c r="E255" s="20" t="s">
        <v>1052</v>
      </c>
      <c r="F255" s="20" t="s">
        <v>134</v>
      </c>
      <c r="G255" s="397">
        <f>'Пр.4 ведом.21'!G275</f>
        <v>0</v>
      </c>
      <c r="H255" s="397">
        <v>100</v>
      </c>
      <c r="I255" s="192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1052</v>
      </c>
      <c r="F256" s="20"/>
      <c r="G256" s="397">
        <f>G257</f>
        <v>0</v>
      </c>
      <c r="H256" s="397">
        <f>H257</f>
        <v>0</v>
      </c>
      <c r="I256" s="192"/>
    </row>
    <row r="257" spans="1:9" ht="31.5" hidden="1" x14ac:dyDescent="0.25">
      <c r="A257" s="396" t="s">
        <v>131</v>
      </c>
      <c r="B257" s="16">
        <v>906</v>
      </c>
      <c r="C257" s="20" t="s">
        <v>118</v>
      </c>
      <c r="D257" s="20" t="s">
        <v>140</v>
      </c>
      <c r="E257" s="20" t="s">
        <v>1052</v>
      </c>
      <c r="F257" s="20" t="s">
        <v>132</v>
      </c>
      <c r="G257" s="397">
        <f>G258</f>
        <v>0</v>
      </c>
      <c r="H257" s="397">
        <f>H258</f>
        <v>0</v>
      </c>
      <c r="I257" s="192"/>
    </row>
    <row r="258" spans="1:9" ht="31.5" hidden="1" x14ac:dyDescent="0.25">
      <c r="A258" s="396" t="s">
        <v>133</v>
      </c>
      <c r="B258" s="16">
        <v>906</v>
      </c>
      <c r="C258" s="20" t="s">
        <v>118</v>
      </c>
      <c r="D258" s="20" t="s">
        <v>140</v>
      </c>
      <c r="E258" s="20" t="s">
        <v>1052</v>
      </c>
      <c r="F258" s="20" t="s">
        <v>134</v>
      </c>
      <c r="G258" s="397">
        <v>0</v>
      </c>
      <c r="H258" s="397">
        <v>0</v>
      </c>
      <c r="I258" s="192"/>
    </row>
    <row r="259" spans="1:9" ht="15.75" hidden="1" x14ac:dyDescent="0.25">
      <c r="A259" s="396" t="s">
        <v>993</v>
      </c>
      <c r="B259" s="16">
        <v>903</v>
      </c>
      <c r="C259" s="20" t="s">
        <v>118</v>
      </c>
      <c r="D259" s="20" t="s">
        <v>140</v>
      </c>
      <c r="E259" s="20" t="s">
        <v>1055</v>
      </c>
      <c r="F259" s="20"/>
      <c r="G259" s="397">
        <f>'Пр.4 ведом.21'!G282</f>
        <v>0</v>
      </c>
      <c r="H259" s="397">
        <f t="shared" ref="H259:H299" si="18">G259</f>
        <v>0</v>
      </c>
      <c r="I259" s="192"/>
    </row>
    <row r="260" spans="1:9" ht="31.5" hidden="1" x14ac:dyDescent="0.25">
      <c r="A260" s="396" t="s">
        <v>131</v>
      </c>
      <c r="B260" s="16">
        <v>903</v>
      </c>
      <c r="C260" s="20" t="s">
        <v>118</v>
      </c>
      <c r="D260" s="20" t="s">
        <v>140</v>
      </c>
      <c r="E260" s="20" t="s">
        <v>1055</v>
      </c>
      <c r="F260" s="20" t="s">
        <v>132</v>
      </c>
      <c r="G260" s="397">
        <f>'Пр.4 ведом.21'!G283</f>
        <v>0</v>
      </c>
      <c r="H260" s="397">
        <f t="shared" si="18"/>
        <v>0</v>
      </c>
      <c r="I260" s="192"/>
    </row>
    <row r="261" spans="1:9" ht="31.5" hidden="1" x14ac:dyDescent="0.25">
      <c r="A261" s="396" t="s">
        <v>133</v>
      </c>
      <c r="B261" s="16">
        <v>903</v>
      </c>
      <c r="C261" s="20" t="s">
        <v>118</v>
      </c>
      <c r="D261" s="20" t="s">
        <v>140</v>
      </c>
      <c r="E261" s="20" t="s">
        <v>1055</v>
      </c>
      <c r="F261" s="20" t="s">
        <v>134</v>
      </c>
      <c r="G261" s="397">
        <f>'Пр.4 ведом.21'!G284</f>
        <v>0</v>
      </c>
      <c r="H261" s="397">
        <f t="shared" si="18"/>
        <v>0</v>
      </c>
      <c r="I261" s="192"/>
    </row>
    <row r="262" spans="1:9" s="191" customFormat="1" ht="31.5" x14ac:dyDescent="0.25">
      <c r="A262" s="396" t="s">
        <v>338</v>
      </c>
      <c r="B262" s="16">
        <v>903</v>
      </c>
      <c r="C262" s="20" t="s">
        <v>118</v>
      </c>
      <c r="D262" s="20" t="s">
        <v>140</v>
      </c>
      <c r="E262" s="20" t="s">
        <v>1053</v>
      </c>
      <c r="F262" s="20"/>
      <c r="G262" s="397">
        <f>G263</f>
        <v>20</v>
      </c>
      <c r="H262" s="397">
        <f>H263</f>
        <v>20</v>
      </c>
      <c r="I262" s="192"/>
    </row>
    <row r="263" spans="1:9" s="191" customFormat="1" ht="31.5" x14ac:dyDescent="0.25">
      <c r="A263" s="396" t="s">
        <v>131</v>
      </c>
      <c r="B263" s="16">
        <v>903</v>
      </c>
      <c r="C263" s="20" t="s">
        <v>118</v>
      </c>
      <c r="D263" s="20" t="s">
        <v>140</v>
      </c>
      <c r="E263" s="20" t="s">
        <v>1053</v>
      </c>
      <c r="F263" s="20" t="s">
        <v>132</v>
      </c>
      <c r="G263" s="397">
        <f>G264</f>
        <v>20</v>
      </c>
      <c r="H263" s="397">
        <f>H264</f>
        <v>20</v>
      </c>
      <c r="I263" s="192"/>
    </row>
    <row r="264" spans="1:9" s="191" customFormat="1" ht="31.5" x14ac:dyDescent="0.25">
      <c r="A264" s="396" t="s">
        <v>133</v>
      </c>
      <c r="B264" s="16">
        <v>903</v>
      </c>
      <c r="C264" s="20" t="s">
        <v>118</v>
      </c>
      <c r="D264" s="20" t="s">
        <v>140</v>
      </c>
      <c r="E264" s="20" t="s">
        <v>1053</v>
      </c>
      <c r="F264" s="20" t="s">
        <v>134</v>
      </c>
      <c r="G264" s="397">
        <v>20</v>
      </c>
      <c r="H264" s="397">
        <v>20</v>
      </c>
      <c r="I264" s="192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1056</v>
      </c>
      <c r="F265" s="20"/>
      <c r="G265" s="397">
        <f>G266</f>
        <v>0</v>
      </c>
      <c r="H265" s="397">
        <f>H266</f>
        <v>0</v>
      </c>
      <c r="I265" s="192"/>
    </row>
    <row r="266" spans="1:9" ht="31.5" hidden="1" x14ac:dyDescent="0.25">
      <c r="A266" s="396" t="s">
        <v>131</v>
      </c>
      <c r="B266" s="16">
        <v>903</v>
      </c>
      <c r="C266" s="20" t="s">
        <v>118</v>
      </c>
      <c r="D266" s="20" t="s">
        <v>140</v>
      </c>
      <c r="E266" s="20" t="s">
        <v>1056</v>
      </c>
      <c r="F266" s="20" t="s">
        <v>132</v>
      </c>
      <c r="G266" s="397">
        <f>G267</f>
        <v>0</v>
      </c>
      <c r="H266" s="397">
        <f>H267</f>
        <v>0</v>
      </c>
      <c r="I266" s="192"/>
    </row>
    <row r="267" spans="1:9" ht="31.5" hidden="1" x14ac:dyDescent="0.25">
      <c r="A267" s="396" t="s">
        <v>133</v>
      </c>
      <c r="B267" s="16">
        <v>903</v>
      </c>
      <c r="C267" s="20" t="s">
        <v>118</v>
      </c>
      <c r="D267" s="20" t="s">
        <v>140</v>
      </c>
      <c r="E267" s="20" t="s">
        <v>1056</v>
      </c>
      <c r="F267" s="20" t="s">
        <v>134</v>
      </c>
      <c r="G267" s="397">
        <v>0</v>
      </c>
      <c r="H267" s="397">
        <f t="shared" si="18"/>
        <v>0</v>
      </c>
      <c r="I267" s="192"/>
    </row>
    <row r="268" spans="1:9" ht="47.25" x14ac:dyDescent="0.25">
      <c r="A268" s="400" t="s">
        <v>1351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393">
        <f>G270</f>
        <v>5</v>
      </c>
      <c r="H268" s="393">
        <f>H270</f>
        <v>5</v>
      </c>
      <c r="I268" s="192"/>
    </row>
    <row r="269" spans="1:9" ht="47.25" x14ac:dyDescent="0.25">
      <c r="A269" s="195" t="s">
        <v>845</v>
      </c>
      <c r="B269" s="19">
        <v>903</v>
      </c>
      <c r="C269" s="24" t="s">
        <v>118</v>
      </c>
      <c r="D269" s="24" t="s">
        <v>140</v>
      </c>
      <c r="E269" s="24" t="s">
        <v>851</v>
      </c>
      <c r="F269" s="24"/>
      <c r="G269" s="393">
        <f t="shared" ref="G269:H271" si="19">G270</f>
        <v>5</v>
      </c>
      <c r="H269" s="393">
        <f t="shared" si="19"/>
        <v>5</v>
      </c>
      <c r="I269" s="192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846</v>
      </c>
      <c r="F270" s="20"/>
      <c r="G270" s="397">
        <f t="shared" si="19"/>
        <v>5</v>
      </c>
      <c r="H270" s="397">
        <f t="shared" si="19"/>
        <v>5</v>
      </c>
      <c r="I270" s="192"/>
    </row>
    <row r="271" spans="1:9" ht="31.5" x14ac:dyDescent="0.25">
      <c r="A271" s="396" t="s">
        <v>131</v>
      </c>
      <c r="B271" s="16">
        <v>903</v>
      </c>
      <c r="C271" s="20" t="s">
        <v>118</v>
      </c>
      <c r="D271" s="20" t="s">
        <v>140</v>
      </c>
      <c r="E271" s="20" t="s">
        <v>846</v>
      </c>
      <c r="F271" s="20" t="s">
        <v>132</v>
      </c>
      <c r="G271" s="397">
        <f t="shared" si="19"/>
        <v>5</v>
      </c>
      <c r="H271" s="397">
        <f t="shared" si="19"/>
        <v>5</v>
      </c>
      <c r="I271" s="192"/>
    </row>
    <row r="272" spans="1:9" ht="31.5" x14ac:dyDescent="0.25">
      <c r="A272" s="396" t="s">
        <v>133</v>
      </c>
      <c r="B272" s="16">
        <v>903</v>
      </c>
      <c r="C272" s="20" t="s">
        <v>118</v>
      </c>
      <c r="D272" s="20" t="s">
        <v>140</v>
      </c>
      <c r="E272" s="20" t="s">
        <v>846</v>
      </c>
      <c r="F272" s="20" t="s">
        <v>134</v>
      </c>
      <c r="G272" s="397">
        <f>5</f>
        <v>5</v>
      </c>
      <c r="H272" s="397">
        <f t="shared" si="18"/>
        <v>5</v>
      </c>
      <c r="I272" s="192"/>
    </row>
    <row r="273" spans="1:9" ht="15.75" x14ac:dyDescent="0.25">
      <c r="A273" s="201" t="s">
        <v>232</v>
      </c>
      <c r="B273" s="19">
        <v>903</v>
      </c>
      <c r="C273" s="24" t="s">
        <v>150</v>
      </c>
      <c r="D273" s="20"/>
      <c r="E273" s="20"/>
      <c r="F273" s="32"/>
      <c r="G273" s="393">
        <f t="shared" ref="G273:H275" si="20">G274</f>
        <v>260</v>
      </c>
      <c r="H273" s="393">
        <f t="shared" si="20"/>
        <v>260</v>
      </c>
      <c r="I273" s="192"/>
    </row>
    <row r="274" spans="1:9" ht="31.5" x14ac:dyDescent="0.25">
      <c r="A274" s="394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393">
        <f t="shared" si="20"/>
        <v>260</v>
      </c>
      <c r="H274" s="393">
        <f t="shared" si="20"/>
        <v>260</v>
      </c>
      <c r="I274" s="192"/>
    </row>
    <row r="275" spans="1:9" ht="47.25" x14ac:dyDescent="0.25">
      <c r="A275" s="394" t="s">
        <v>1365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06"/>
      <c r="G275" s="393">
        <f t="shared" si="20"/>
        <v>260</v>
      </c>
      <c r="H275" s="393">
        <f t="shared" si="20"/>
        <v>260</v>
      </c>
      <c r="I275" s="192"/>
    </row>
    <row r="276" spans="1:9" ht="64.5" customHeight="1" x14ac:dyDescent="0.25">
      <c r="A276" s="394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393">
        <f>G277+G281+G285+G289</f>
        <v>260</v>
      </c>
      <c r="H276" s="393">
        <f>H277+H281+H285+H289</f>
        <v>260</v>
      </c>
      <c r="I276" s="192"/>
    </row>
    <row r="277" spans="1:9" ht="47.25" hidden="1" x14ac:dyDescent="0.25">
      <c r="A277" s="199" t="s">
        <v>1043</v>
      </c>
      <c r="B277" s="19">
        <v>903</v>
      </c>
      <c r="C277" s="24" t="s">
        <v>150</v>
      </c>
      <c r="D277" s="24" t="s">
        <v>238</v>
      </c>
      <c r="E277" s="24" t="s">
        <v>906</v>
      </c>
      <c r="F277" s="24"/>
      <c r="G277" s="393">
        <f>G278</f>
        <v>0</v>
      </c>
      <c r="H277" s="393">
        <f>H278</f>
        <v>0</v>
      </c>
      <c r="I277" s="192"/>
    </row>
    <row r="278" spans="1:9" ht="47.25" hidden="1" x14ac:dyDescent="0.25">
      <c r="A278" s="396" t="s">
        <v>375</v>
      </c>
      <c r="B278" s="16">
        <v>903</v>
      </c>
      <c r="C278" s="20" t="s">
        <v>150</v>
      </c>
      <c r="D278" s="20" t="s">
        <v>238</v>
      </c>
      <c r="E278" s="20" t="s">
        <v>1314</v>
      </c>
      <c r="F278" s="20"/>
      <c r="G278" s="397">
        <f>'Пр.4 ведом.21'!G303</f>
        <v>0</v>
      </c>
      <c r="H278" s="397">
        <f t="shared" si="18"/>
        <v>0</v>
      </c>
      <c r="I278" s="192"/>
    </row>
    <row r="279" spans="1:9" ht="31.5" hidden="1" x14ac:dyDescent="0.25">
      <c r="A279" s="396" t="s">
        <v>248</v>
      </c>
      <c r="B279" s="16">
        <v>903</v>
      </c>
      <c r="C279" s="20" t="s">
        <v>150</v>
      </c>
      <c r="D279" s="20" t="s">
        <v>238</v>
      </c>
      <c r="E279" s="20" t="s">
        <v>1314</v>
      </c>
      <c r="F279" s="20" t="s">
        <v>249</v>
      </c>
      <c r="G279" s="397">
        <f>'Пр.4 ведом.21'!G304</f>
        <v>0</v>
      </c>
      <c r="H279" s="397">
        <f t="shared" si="18"/>
        <v>0</v>
      </c>
      <c r="I279" s="192"/>
    </row>
    <row r="280" spans="1:9" ht="31.5" hidden="1" x14ac:dyDescent="0.25">
      <c r="A280" s="396" t="s">
        <v>250</v>
      </c>
      <c r="B280" s="16">
        <v>903</v>
      </c>
      <c r="C280" s="20" t="s">
        <v>150</v>
      </c>
      <c r="D280" s="20" t="s">
        <v>238</v>
      </c>
      <c r="E280" s="20" t="s">
        <v>1314</v>
      </c>
      <c r="F280" s="20" t="s">
        <v>251</v>
      </c>
      <c r="G280" s="397">
        <f>'Пр.4 ведом.21'!G305</f>
        <v>0</v>
      </c>
      <c r="H280" s="397">
        <f t="shared" si="18"/>
        <v>0</v>
      </c>
      <c r="I280" s="192"/>
    </row>
    <row r="281" spans="1:9" ht="31.5" x14ac:dyDescent="0.25">
      <c r="A281" s="394" t="s">
        <v>1041</v>
      </c>
      <c r="B281" s="19">
        <v>903</v>
      </c>
      <c r="C281" s="24" t="s">
        <v>150</v>
      </c>
      <c r="D281" s="24" t="s">
        <v>238</v>
      </c>
      <c r="E281" s="24" t="s">
        <v>1197</v>
      </c>
      <c r="F281" s="24"/>
      <c r="G281" s="393">
        <f t="shared" ref="G281:H283" si="21">G282</f>
        <v>260</v>
      </c>
      <c r="H281" s="393">
        <f t="shared" si="21"/>
        <v>260</v>
      </c>
      <c r="I281" s="192"/>
    </row>
    <row r="282" spans="1:9" ht="110.25" x14ac:dyDescent="0.25">
      <c r="A282" s="396" t="s">
        <v>1485</v>
      </c>
      <c r="B282" s="16">
        <v>903</v>
      </c>
      <c r="C282" s="20" t="s">
        <v>150</v>
      </c>
      <c r="D282" s="20" t="s">
        <v>238</v>
      </c>
      <c r="E282" s="20" t="s">
        <v>1198</v>
      </c>
      <c r="F282" s="20"/>
      <c r="G282" s="397">
        <f t="shared" si="21"/>
        <v>260</v>
      </c>
      <c r="H282" s="397">
        <f t="shared" si="21"/>
        <v>260</v>
      </c>
      <c r="I282" s="192"/>
    </row>
    <row r="283" spans="1:9" ht="31.5" x14ac:dyDescent="0.25">
      <c r="A283" s="396" t="s">
        <v>272</v>
      </c>
      <c r="B283" s="16">
        <v>903</v>
      </c>
      <c r="C283" s="20" t="s">
        <v>150</v>
      </c>
      <c r="D283" s="20" t="s">
        <v>238</v>
      </c>
      <c r="E283" s="20" t="s">
        <v>1198</v>
      </c>
      <c r="F283" s="20" t="s">
        <v>273</v>
      </c>
      <c r="G283" s="397">
        <f t="shared" si="21"/>
        <v>260</v>
      </c>
      <c r="H283" s="397">
        <f t="shared" si="21"/>
        <v>260</v>
      </c>
      <c r="I283" s="192"/>
    </row>
    <row r="284" spans="1:9" ht="63" x14ac:dyDescent="0.25">
      <c r="A284" s="396" t="s">
        <v>1090</v>
      </c>
      <c r="B284" s="16">
        <v>903</v>
      </c>
      <c r="C284" s="20" t="s">
        <v>150</v>
      </c>
      <c r="D284" s="20" t="s">
        <v>238</v>
      </c>
      <c r="E284" s="20" t="s">
        <v>1198</v>
      </c>
      <c r="F284" s="20" t="s">
        <v>372</v>
      </c>
      <c r="G284" s="397">
        <f>60+200</f>
        <v>260</v>
      </c>
      <c r="H284" s="397">
        <f t="shared" si="18"/>
        <v>260</v>
      </c>
      <c r="I284" s="192"/>
    </row>
    <row r="285" spans="1:9" ht="31.5" hidden="1" x14ac:dyDescent="0.25">
      <c r="A285" s="394" t="s">
        <v>994</v>
      </c>
      <c r="B285" s="19">
        <v>903</v>
      </c>
      <c r="C285" s="24" t="s">
        <v>150</v>
      </c>
      <c r="D285" s="24" t="s">
        <v>238</v>
      </c>
      <c r="E285" s="24" t="s">
        <v>1307</v>
      </c>
      <c r="F285" s="24"/>
      <c r="G285" s="393">
        <f>G286</f>
        <v>0</v>
      </c>
      <c r="H285" s="393">
        <f>H286</f>
        <v>0</v>
      </c>
      <c r="I285" s="192"/>
    </row>
    <row r="286" spans="1:9" ht="31.5" hidden="1" x14ac:dyDescent="0.25">
      <c r="A286" s="234" t="s">
        <v>1044</v>
      </c>
      <c r="B286" s="16">
        <v>903</v>
      </c>
      <c r="C286" s="20" t="s">
        <v>150</v>
      </c>
      <c r="D286" s="20" t="s">
        <v>238</v>
      </c>
      <c r="E286" s="20" t="s">
        <v>1308</v>
      </c>
      <c r="F286" s="20"/>
      <c r="G286" s="397">
        <f>'Пр.4 ведом.21'!G311</f>
        <v>0</v>
      </c>
      <c r="H286" s="397">
        <f t="shared" si="18"/>
        <v>0</v>
      </c>
      <c r="I286" s="192"/>
    </row>
    <row r="287" spans="1:9" ht="31.5" hidden="1" x14ac:dyDescent="0.25">
      <c r="A287" s="396" t="s">
        <v>131</v>
      </c>
      <c r="B287" s="16">
        <v>903</v>
      </c>
      <c r="C287" s="20" t="s">
        <v>150</v>
      </c>
      <c r="D287" s="20" t="s">
        <v>238</v>
      </c>
      <c r="E287" s="20" t="s">
        <v>1308</v>
      </c>
      <c r="F287" s="20" t="s">
        <v>132</v>
      </c>
      <c r="G287" s="397">
        <f>'Пр.4 ведом.21'!G312</f>
        <v>0</v>
      </c>
      <c r="H287" s="397">
        <f t="shared" si="18"/>
        <v>0</v>
      </c>
      <c r="I287" s="192"/>
    </row>
    <row r="288" spans="1:9" ht="31.5" hidden="1" x14ac:dyDescent="0.25">
      <c r="A288" s="396" t="s">
        <v>133</v>
      </c>
      <c r="B288" s="16">
        <v>903</v>
      </c>
      <c r="C288" s="20" t="s">
        <v>150</v>
      </c>
      <c r="D288" s="20" t="s">
        <v>238</v>
      </c>
      <c r="E288" s="20" t="s">
        <v>1308</v>
      </c>
      <c r="F288" s="20" t="s">
        <v>134</v>
      </c>
      <c r="G288" s="397">
        <f>'Пр.4 ведом.21'!G313</f>
        <v>0</v>
      </c>
      <c r="H288" s="397">
        <f t="shared" si="18"/>
        <v>0</v>
      </c>
      <c r="I288" s="192"/>
    </row>
    <row r="289" spans="1:9" s="191" customFormat="1" ht="31.5" hidden="1" x14ac:dyDescent="0.25">
      <c r="A289" s="402" t="s">
        <v>1103</v>
      </c>
      <c r="B289" s="19">
        <v>903</v>
      </c>
      <c r="C289" s="24" t="s">
        <v>150</v>
      </c>
      <c r="D289" s="24" t="s">
        <v>238</v>
      </c>
      <c r="E289" s="24" t="s">
        <v>1199</v>
      </c>
      <c r="F289" s="24"/>
      <c r="G289" s="393">
        <f t="shared" ref="G289:H291" si="22">G290</f>
        <v>0</v>
      </c>
      <c r="H289" s="393">
        <f t="shared" si="22"/>
        <v>0</v>
      </c>
      <c r="I289" s="192"/>
    </row>
    <row r="290" spans="1:9" s="191" customFormat="1" ht="31.5" hidden="1" x14ac:dyDescent="0.25">
      <c r="A290" s="215" t="s">
        <v>1104</v>
      </c>
      <c r="B290" s="16">
        <v>903</v>
      </c>
      <c r="C290" s="20" t="s">
        <v>150</v>
      </c>
      <c r="D290" s="20" t="s">
        <v>238</v>
      </c>
      <c r="E290" s="20" t="s">
        <v>1200</v>
      </c>
      <c r="F290" s="20"/>
      <c r="G290" s="397">
        <f t="shared" si="22"/>
        <v>0</v>
      </c>
      <c r="H290" s="397">
        <f t="shared" si="22"/>
        <v>0</v>
      </c>
      <c r="I290" s="192"/>
    </row>
    <row r="291" spans="1:9" s="191" customFormat="1" ht="31.5" hidden="1" x14ac:dyDescent="0.25">
      <c r="A291" s="396" t="s">
        <v>131</v>
      </c>
      <c r="B291" s="16">
        <v>903</v>
      </c>
      <c r="C291" s="20" t="s">
        <v>150</v>
      </c>
      <c r="D291" s="20" t="s">
        <v>238</v>
      </c>
      <c r="E291" s="20" t="s">
        <v>1200</v>
      </c>
      <c r="F291" s="20" t="s">
        <v>132</v>
      </c>
      <c r="G291" s="397">
        <f t="shared" si="22"/>
        <v>0</v>
      </c>
      <c r="H291" s="397">
        <f t="shared" si="22"/>
        <v>0</v>
      </c>
      <c r="I291" s="192"/>
    </row>
    <row r="292" spans="1:9" s="191" customFormat="1" ht="31.5" hidden="1" x14ac:dyDescent="0.25">
      <c r="A292" s="396" t="s">
        <v>133</v>
      </c>
      <c r="B292" s="16">
        <v>903</v>
      </c>
      <c r="C292" s="20" t="s">
        <v>150</v>
      </c>
      <c r="D292" s="20" t="s">
        <v>238</v>
      </c>
      <c r="E292" s="20" t="s">
        <v>1200</v>
      </c>
      <c r="F292" s="20" t="s">
        <v>134</v>
      </c>
      <c r="G292" s="397">
        <v>0</v>
      </c>
      <c r="H292" s="397">
        <v>0</v>
      </c>
      <c r="I292" s="192"/>
    </row>
    <row r="293" spans="1:9" ht="15.75" x14ac:dyDescent="0.25">
      <c r="A293" s="394" t="s">
        <v>263</v>
      </c>
      <c r="B293" s="19">
        <v>903</v>
      </c>
      <c r="C293" s="24" t="s">
        <v>264</v>
      </c>
      <c r="D293" s="20"/>
      <c r="E293" s="20"/>
      <c r="F293" s="20"/>
      <c r="G293" s="393">
        <f>G294+G337</f>
        <v>19986.610000000004</v>
      </c>
      <c r="H293" s="393">
        <f>H294+H337</f>
        <v>20065.210000000003</v>
      </c>
      <c r="I293" s="192"/>
    </row>
    <row r="294" spans="1:9" ht="15.75" x14ac:dyDescent="0.25">
      <c r="A294" s="394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393">
        <f>G295+G332+G327</f>
        <v>19226.610000000004</v>
      </c>
      <c r="H294" s="393">
        <f>H295+H332+H327</f>
        <v>19240.210000000003</v>
      </c>
      <c r="I294" s="192"/>
    </row>
    <row r="295" spans="1:9" ht="31.5" x14ac:dyDescent="0.25">
      <c r="A295" s="394" t="s">
        <v>1350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393">
        <f>G296+G304+G313+G317</f>
        <v>18730.410000000003</v>
      </c>
      <c r="H295" s="393">
        <f>H296+H304+H313+H317</f>
        <v>18730.410000000003</v>
      </c>
      <c r="I295" s="192"/>
    </row>
    <row r="296" spans="1:9" ht="36" customHeight="1" x14ac:dyDescent="0.25">
      <c r="A296" s="394" t="s">
        <v>894</v>
      </c>
      <c r="B296" s="19">
        <v>903</v>
      </c>
      <c r="C296" s="24" t="s">
        <v>264</v>
      </c>
      <c r="D296" s="24" t="s">
        <v>215</v>
      </c>
      <c r="E296" s="24" t="s">
        <v>1201</v>
      </c>
      <c r="F296" s="24"/>
      <c r="G296" s="44">
        <f>G297</f>
        <v>15854.01</v>
      </c>
      <c r="H296" s="44">
        <f>H297</f>
        <v>15854.01</v>
      </c>
      <c r="I296" s="192"/>
    </row>
    <row r="297" spans="1:9" ht="15.75" x14ac:dyDescent="0.25">
      <c r="A297" s="396" t="s">
        <v>800</v>
      </c>
      <c r="B297" s="16">
        <v>903</v>
      </c>
      <c r="C297" s="20" t="s">
        <v>264</v>
      </c>
      <c r="D297" s="20" t="s">
        <v>215</v>
      </c>
      <c r="E297" s="20" t="s">
        <v>1202</v>
      </c>
      <c r="F297" s="20"/>
      <c r="G297" s="397">
        <f>G298+G300+G303</f>
        <v>15854.01</v>
      </c>
      <c r="H297" s="397">
        <f>H298+H300+H303</f>
        <v>15854.01</v>
      </c>
      <c r="I297" s="192"/>
    </row>
    <row r="298" spans="1:9" ht="78.75" x14ac:dyDescent="0.25">
      <c r="A298" s="396" t="s">
        <v>127</v>
      </c>
      <c r="B298" s="16">
        <v>903</v>
      </c>
      <c r="C298" s="20" t="s">
        <v>264</v>
      </c>
      <c r="D298" s="20" t="s">
        <v>215</v>
      </c>
      <c r="E298" s="20" t="s">
        <v>1202</v>
      </c>
      <c r="F298" s="20" t="s">
        <v>128</v>
      </c>
      <c r="G298" s="397">
        <f>G299</f>
        <v>14172.31</v>
      </c>
      <c r="H298" s="397">
        <f>H299</f>
        <v>14172.31</v>
      </c>
      <c r="I298" s="192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1202</v>
      </c>
      <c r="F299" s="20" t="s">
        <v>209</v>
      </c>
      <c r="G299" s="397">
        <v>14172.31</v>
      </c>
      <c r="H299" s="397">
        <f t="shared" si="18"/>
        <v>14172.31</v>
      </c>
      <c r="I299" s="192"/>
    </row>
    <row r="300" spans="1:9" ht="31.5" x14ac:dyDescent="0.25">
      <c r="A300" s="396" t="s">
        <v>131</v>
      </c>
      <c r="B300" s="16">
        <v>903</v>
      </c>
      <c r="C300" s="20" t="s">
        <v>264</v>
      </c>
      <c r="D300" s="20" t="s">
        <v>215</v>
      </c>
      <c r="E300" s="20" t="s">
        <v>1202</v>
      </c>
      <c r="F300" s="20" t="s">
        <v>132</v>
      </c>
      <c r="G300" s="397">
        <f>G301</f>
        <v>1603.7</v>
      </c>
      <c r="H300" s="397">
        <f>H301</f>
        <v>1603.7</v>
      </c>
      <c r="I300" s="192"/>
    </row>
    <row r="301" spans="1:9" ht="31.5" x14ac:dyDescent="0.25">
      <c r="A301" s="396" t="s">
        <v>133</v>
      </c>
      <c r="B301" s="16">
        <v>903</v>
      </c>
      <c r="C301" s="20" t="s">
        <v>264</v>
      </c>
      <c r="D301" s="20" t="s">
        <v>215</v>
      </c>
      <c r="E301" s="20" t="s">
        <v>1202</v>
      </c>
      <c r="F301" s="20" t="s">
        <v>134</v>
      </c>
      <c r="G301" s="397">
        <v>1603.7</v>
      </c>
      <c r="H301" s="397">
        <f t="shared" ref="H301:H365" si="23">G301</f>
        <v>1603.7</v>
      </c>
      <c r="I301" s="192"/>
    </row>
    <row r="302" spans="1:9" ht="15.75" x14ac:dyDescent="0.25">
      <c r="A302" s="396" t="s">
        <v>135</v>
      </c>
      <c r="B302" s="16">
        <v>903</v>
      </c>
      <c r="C302" s="20" t="s">
        <v>264</v>
      </c>
      <c r="D302" s="20" t="s">
        <v>215</v>
      </c>
      <c r="E302" s="20" t="s">
        <v>1202</v>
      </c>
      <c r="F302" s="20" t="s">
        <v>145</v>
      </c>
      <c r="G302" s="397">
        <f>G303</f>
        <v>78</v>
      </c>
      <c r="H302" s="397">
        <f>H303</f>
        <v>78</v>
      </c>
      <c r="I302" s="192"/>
    </row>
    <row r="303" spans="1:9" ht="15.75" x14ac:dyDescent="0.25">
      <c r="A303" s="396" t="s">
        <v>704</v>
      </c>
      <c r="B303" s="16">
        <v>903</v>
      </c>
      <c r="C303" s="20" t="s">
        <v>264</v>
      </c>
      <c r="D303" s="20" t="s">
        <v>215</v>
      </c>
      <c r="E303" s="20" t="s">
        <v>1202</v>
      </c>
      <c r="F303" s="20" t="s">
        <v>138</v>
      </c>
      <c r="G303" s="397">
        <f>78</f>
        <v>78</v>
      </c>
      <c r="H303" s="397">
        <f t="shared" si="23"/>
        <v>78</v>
      </c>
      <c r="I303" s="192"/>
    </row>
    <row r="304" spans="1:9" ht="31.5" x14ac:dyDescent="0.25">
      <c r="A304" s="200" t="s">
        <v>1300</v>
      </c>
      <c r="B304" s="19">
        <v>903</v>
      </c>
      <c r="C304" s="24" t="s">
        <v>264</v>
      </c>
      <c r="D304" s="24" t="s">
        <v>215</v>
      </c>
      <c r="E304" s="24" t="s">
        <v>1203</v>
      </c>
      <c r="F304" s="24"/>
      <c r="G304" s="44">
        <f>G305+G308</f>
        <v>1295</v>
      </c>
      <c r="H304" s="44">
        <f>H305+H308</f>
        <v>1295</v>
      </c>
      <c r="I304" s="192"/>
    </row>
    <row r="305" spans="1:9" ht="39.200000000000003" customHeight="1" x14ac:dyDescent="0.25">
      <c r="A305" s="188" t="s">
        <v>799</v>
      </c>
      <c r="B305" s="16">
        <v>903</v>
      </c>
      <c r="C305" s="20" t="s">
        <v>264</v>
      </c>
      <c r="D305" s="20" t="s">
        <v>215</v>
      </c>
      <c r="E305" s="20" t="s">
        <v>1204</v>
      </c>
      <c r="F305" s="20"/>
      <c r="G305" s="397">
        <f t="shared" ref="G305:H306" si="24">G306</f>
        <v>45</v>
      </c>
      <c r="H305" s="397">
        <f t="shared" si="24"/>
        <v>45</v>
      </c>
      <c r="I305" s="192"/>
    </row>
    <row r="306" spans="1:9" ht="20.25" customHeight="1" x14ac:dyDescent="0.25">
      <c r="A306" s="396" t="s">
        <v>248</v>
      </c>
      <c r="B306" s="16">
        <v>903</v>
      </c>
      <c r="C306" s="20" t="s">
        <v>264</v>
      </c>
      <c r="D306" s="20" t="s">
        <v>215</v>
      </c>
      <c r="E306" s="20" t="s">
        <v>1204</v>
      </c>
      <c r="F306" s="20" t="s">
        <v>249</v>
      </c>
      <c r="G306" s="397">
        <f t="shared" si="24"/>
        <v>45</v>
      </c>
      <c r="H306" s="397">
        <f t="shared" si="24"/>
        <v>45</v>
      </c>
      <c r="I306" s="192"/>
    </row>
    <row r="307" spans="1:9" ht="15.75" x14ac:dyDescent="0.25">
      <c r="A307" s="396" t="s">
        <v>819</v>
      </c>
      <c r="B307" s="16">
        <v>903</v>
      </c>
      <c r="C307" s="20" t="s">
        <v>264</v>
      </c>
      <c r="D307" s="20" t="s">
        <v>215</v>
      </c>
      <c r="E307" s="20" t="s">
        <v>1204</v>
      </c>
      <c r="F307" s="20" t="s">
        <v>818</v>
      </c>
      <c r="G307" s="397">
        <f>45</f>
        <v>45</v>
      </c>
      <c r="H307" s="397">
        <f t="shared" si="23"/>
        <v>45</v>
      </c>
      <c r="I307" s="192"/>
    </row>
    <row r="308" spans="1:9" ht="31.5" x14ac:dyDescent="0.25">
      <c r="A308" s="31" t="s">
        <v>815</v>
      </c>
      <c r="B308" s="16">
        <v>903</v>
      </c>
      <c r="C308" s="20" t="s">
        <v>264</v>
      </c>
      <c r="D308" s="20" t="s">
        <v>215</v>
      </c>
      <c r="E308" s="20" t="s">
        <v>1205</v>
      </c>
      <c r="F308" s="20"/>
      <c r="G308" s="397">
        <f t="shared" ref="G308:H309" si="25">G309</f>
        <v>1250</v>
      </c>
      <c r="H308" s="397">
        <f t="shared" si="25"/>
        <v>1250</v>
      </c>
      <c r="I308" s="192"/>
    </row>
    <row r="309" spans="1:9" ht="78.75" x14ac:dyDescent="0.25">
      <c r="A309" s="396" t="s">
        <v>127</v>
      </c>
      <c r="B309" s="16">
        <v>903</v>
      </c>
      <c r="C309" s="20" t="s">
        <v>264</v>
      </c>
      <c r="D309" s="20" t="s">
        <v>215</v>
      </c>
      <c r="E309" s="20" t="s">
        <v>1205</v>
      </c>
      <c r="F309" s="20" t="s">
        <v>128</v>
      </c>
      <c r="G309" s="397">
        <f t="shared" si="25"/>
        <v>1250</v>
      </c>
      <c r="H309" s="397">
        <f t="shared" si="25"/>
        <v>1250</v>
      </c>
      <c r="I309" s="192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1205</v>
      </c>
      <c r="F310" s="20" t="s">
        <v>209</v>
      </c>
      <c r="G310" s="397">
        <f>250+1000</f>
        <v>1250</v>
      </c>
      <c r="H310" s="397">
        <f t="shared" si="23"/>
        <v>1250</v>
      </c>
      <c r="I310" s="192"/>
    </row>
    <row r="311" spans="1:9" ht="31.5" hidden="1" x14ac:dyDescent="0.25">
      <c r="A311" s="396" t="s">
        <v>131</v>
      </c>
      <c r="B311" s="16">
        <v>903</v>
      </c>
      <c r="C311" s="20" t="s">
        <v>264</v>
      </c>
      <c r="D311" s="20" t="s">
        <v>215</v>
      </c>
      <c r="E311" s="20" t="s">
        <v>886</v>
      </c>
      <c r="F311" s="20" t="s">
        <v>132</v>
      </c>
      <c r="G311" s="397">
        <f>'Пр.4 ведом.21'!G342</f>
        <v>0</v>
      </c>
      <c r="H311" s="397">
        <f t="shared" si="23"/>
        <v>0</v>
      </c>
      <c r="I311" s="192"/>
    </row>
    <row r="312" spans="1:9" ht="31.5" hidden="1" x14ac:dyDescent="0.25">
      <c r="A312" s="396" t="s">
        <v>133</v>
      </c>
      <c r="B312" s="16">
        <v>903</v>
      </c>
      <c r="C312" s="20" t="s">
        <v>264</v>
      </c>
      <c r="D312" s="20" t="s">
        <v>215</v>
      </c>
      <c r="E312" s="20" t="s">
        <v>886</v>
      </c>
      <c r="F312" s="20" t="s">
        <v>134</v>
      </c>
      <c r="G312" s="397">
        <f>'Пр.4 ведом.21'!G343</f>
        <v>0</v>
      </c>
      <c r="H312" s="397">
        <f t="shared" si="23"/>
        <v>0</v>
      </c>
      <c r="I312" s="192"/>
    </row>
    <row r="313" spans="1:9" ht="31.5" x14ac:dyDescent="0.25">
      <c r="A313" s="394" t="s">
        <v>946</v>
      </c>
      <c r="B313" s="19">
        <v>903</v>
      </c>
      <c r="C313" s="24" t="s">
        <v>264</v>
      </c>
      <c r="D313" s="24" t="s">
        <v>215</v>
      </c>
      <c r="E313" s="24" t="s">
        <v>1206</v>
      </c>
      <c r="F313" s="24"/>
      <c r="G313" s="44">
        <f t="shared" ref="G313:H315" si="26">G314</f>
        <v>506</v>
      </c>
      <c r="H313" s="44">
        <f t="shared" si="26"/>
        <v>506</v>
      </c>
      <c r="I313" s="192"/>
    </row>
    <row r="314" spans="1:9" ht="47.25" x14ac:dyDescent="0.25">
      <c r="A314" s="396" t="s">
        <v>838</v>
      </c>
      <c r="B314" s="16">
        <v>903</v>
      </c>
      <c r="C314" s="20" t="s">
        <v>264</v>
      </c>
      <c r="D314" s="20" t="s">
        <v>215</v>
      </c>
      <c r="E314" s="20" t="s">
        <v>1207</v>
      </c>
      <c r="F314" s="20"/>
      <c r="G314" s="397">
        <f t="shared" si="26"/>
        <v>506</v>
      </c>
      <c r="H314" s="397">
        <f t="shared" si="26"/>
        <v>506</v>
      </c>
      <c r="I314" s="192"/>
    </row>
    <row r="315" spans="1:9" ht="78.75" x14ac:dyDescent="0.25">
      <c r="A315" s="396" t="s">
        <v>127</v>
      </c>
      <c r="B315" s="16">
        <v>903</v>
      </c>
      <c r="C315" s="20" t="s">
        <v>264</v>
      </c>
      <c r="D315" s="20" t="s">
        <v>215</v>
      </c>
      <c r="E315" s="20" t="s">
        <v>1207</v>
      </c>
      <c r="F315" s="20" t="s">
        <v>128</v>
      </c>
      <c r="G315" s="397">
        <f t="shared" si="26"/>
        <v>506</v>
      </c>
      <c r="H315" s="397">
        <f t="shared" si="26"/>
        <v>506</v>
      </c>
      <c r="I315" s="192"/>
    </row>
    <row r="316" spans="1:9" ht="31.5" x14ac:dyDescent="0.25">
      <c r="A316" s="396" t="s">
        <v>342</v>
      </c>
      <c r="B316" s="16">
        <v>903</v>
      </c>
      <c r="C316" s="20" t="s">
        <v>264</v>
      </c>
      <c r="D316" s="20" t="s">
        <v>215</v>
      </c>
      <c r="E316" s="20" t="s">
        <v>1207</v>
      </c>
      <c r="F316" s="20" t="s">
        <v>209</v>
      </c>
      <c r="G316" s="397">
        <v>506</v>
      </c>
      <c r="H316" s="397">
        <f t="shared" si="23"/>
        <v>506</v>
      </c>
      <c r="I316" s="192"/>
    </row>
    <row r="317" spans="1:9" ht="47.25" x14ac:dyDescent="0.25">
      <c r="A317" s="394" t="s">
        <v>899</v>
      </c>
      <c r="B317" s="19">
        <v>903</v>
      </c>
      <c r="C317" s="24" t="s">
        <v>264</v>
      </c>
      <c r="D317" s="24" t="s">
        <v>215</v>
      </c>
      <c r="E317" s="24" t="s">
        <v>1208</v>
      </c>
      <c r="F317" s="24"/>
      <c r="G317" s="44">
        <f>G321+G324+G318</f>
        <v>1075.4000000000001</v>
      </c>
      <c r="H317" s="44">
        <f>H321+H324+H318</f>
        <v>1075.4000000000001</v>
      </c>
      <c r="I317" s="192"/>
    </row>
    <row r="318" spans="1:9" s="191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1402</v>
      </c>
      <c r="F318" s="20"/>
      <c r="G318" s="397">
        <f>G319</f>
        <v>671</v>
      </c>
      <c r="H318" s="397">
        <f>H319</f>
        <v>671</v>
      </c>
      <c r="I318" s="192"/>
    </row>
    <row r="319" spans="1:9" s="191" customFormat="1" ht="78.75" x14ac:dyDescent="0.25">
      <c r="A319" s="396" t="s">
        <v>127</v>
      </c>
      <c r="B319" s="16">
        <v>903</v>
      </c>
      <c r="C319" s="20" t="s">
        <v>264</v>
      </c>
      <c r="D319" s="20" t="s">
        <v>215</v>
      </c>
      <c r="E319" s="20" t="s">
        <v>1402</v>
      </c>
      <c r="F319" s="20" t="s">
        <v>128</v>
      </c>
      <c r="G319" s="397">
        <f>G320</f>
        <v>671</v>
      </c>
      <c r="H319" s="397">
        <f>H320</f>
        <v>671</v>
      </c>
      <c r="I319" s="192"/>
    </row>
    <row r="320" spans="1:9" s="191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1402</v>
      </c>
      <c r="F320" s="20" t="s">
        <v>209</v>
      </c>
      <c r="G320" s="397">
        <v>671</v>
      </c>
      <c r="H320" s="397">
        <f>G320</f>
        <v>671</v>
      </c>
      <c r="I320" s="192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1209</v>
      </c>
      <c r="F321" s="20"/>
      <c r="G321" s="397">
        <f>G322</f>
        <v>106</v>
      </c>
      <c r="H321" s="397">
        <f>H322</f>
        <v>106</v>
      </c>
      <c r="I321" s="192"/>
    </row>
    <row r="322" spans="1:9" ht="78.75" x14ac:dyDescent="0.25">
      <c r="A322" s="396" t="s">
        <v>127</v>
      </c>
      <c r="B322" s="16">
        <v>903</v>
      </c>
      <c r="C322" s="20" t="s">
        <v>264</v>
      </c>
      <c r="D322" s="20" t="s">
        <v>215</v>
      </c>
      <c r="E322" s="20" t="s">
        <v>1209</v>
      </c>
      <c r="F322" s="20" t="s">
        <v>128</v>
      </c>
      <c r="G322" s="397">
        <f>G323</f>
        <v>106</v>
      </c>
      <c r="H322" s="397">
        <f>H323</f>
        <v>106</v>
      </c>
      <c r="I322" s="192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1209</v>
      </c>
      <c r="F323" s="20" t="s">
        <v>209</v>
      </c>
      <c r="G323" s="397">
        <v>106</v>
      </c>
      <c r="H323" s="397">
        <f t="shared" si="23"/>
        <v>106</v>
      </c>
      <c r="I323" s="192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1210</v>
      </c>
      <c r="F324" s="20"/>
      <c r="G324" s="397">
        <f>G325</f>
        <v>298.39999999999998</v>
      </c>
      <c r="H324" s="397">
        <f t="shared" si="23"/>
        <v>298.39999999999998</v>
      </c>
      <c r="I324" s="192"/>
    </row>
    <row r="325" spans="1:9" ht="78.75" x14ac:dyDescent="0.25">
      <c r="A325" s="396" t="s">
        <v>127</v>
      </c>
      <c r="B325" s="16">
        <v>903</v>
      </c>
      <c r="C325" s="20" t="s">
        <v>264</v>
      </c>
      <c r="D325" s="20" t="s">
        <v>215</v>
      </c>
      <c r="E325" s="20" t="s">
        <v>1210</v>
      </c>
      <c r="F325" s="20" t="s">
        <v>128</v>
      </c>
      <c r="G325" s="397">
        <f>G326</f>
        <v>298.39999999999998</v>
      </c>
      <c r="H325" s="397">
        <f>H326</f>
        <v>298.39999999999998</v>
      </c>
      <c r="I325" s="192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1210</v>
      </c>
      <c r="F326" s="20" t="s">
        <v>209</v>
      </c>
      <c r="G326" s="397">
        <f>298.4</f>
        <v>298.39999999999998</v>
      </c>
      <c r="H326" s="397">
        <f t="shared" si="23"/>
        <v>298.39999999999998</v>
      </c>
      <c r="I326" s="192"/>
    </row>
    <row r="327" spans="1:9" s="191" customFormat="1" ht="47.25" x14ac:dyDescent="0.25">
      <c r="A327" s="34" t="s">
        <v>1218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393">
        <f>G329</f>
        <v>6</v>
      </c>
      <c r="H327" s="393">
        <f>H329</f>
        <v>0</v>
      </c>
      <c r="I327" s="192"/>
    </row>
    <row r="328" spans="1:9" s="191" customFormat="1" ht="63" x14ac:dyDescent="0.25">
      <c r="A328" s="34" t="s">
        <v>1024</v>
      </c>
      <c r="B328" s="19">
        <v>903</v>
      </c>
      <c r="C328" s="24" t="s">
        <v>264</v>
      </c>
      <c r="D328" s="24" t="s">
        <v>215</v>
      </c>
      <c r="E328" s="24" t="s">
        <v>933</v>
      </c>
      <c r="F328" s="24"/>
      <c r="G328" s="393">
        <f>G331</f>
        <v>6</v>
      </c>
      <c r="H328" s="393">
        <f>H331</f>
        <v>0</v>
      </c>
      <c r="I328" s="192"/>
    </row>
    <row r="329" spans="1:9" s="191" customFormat="1" ht="47.25" x14ac:dyDescent="0.25">
      <c r="A329" s="31" t="s">
        <v>1081</v>
      </c>
      <c r="B329" s="16">
        <v>903</v>
      </c>
      <c r="C329" s="20" t="s">
        <v>264</v>
      </c>
      <c r="D329" s="20" t="s">
        <v>215</v>
      </c>
      <c r="E329" s="20" t="s">
        <v>1025</v>
      </c>
      <c r="F329" s="20"/>
      <c r="G329" s="397">
        <f>G330</f>
        <v>6</v>
      </c>
      <c r="H329" s="397">
        <f>H330</f>
        <v>0</v>
      </c>
      <c r="I329" s="192"/>
    </row>
    <row r="330" spans="1:9" s="191" customFormat="1" ht="31.5" x14ac:dyDescent="0.25">
      <c r="A330" s="396" t="s">
        <v>131</v>
      </c>
      <c r="B330" s="16">
        <v>903</v>
      </c>
      <c r="C330" s="20" t="s">
        <v>264</v>
      </c>
      <c r="D330" s="20" t="s">
        <v>215</v>
      </c>
      <c r="E330" s="20" t="s">
        <v>1025</v>
      </c>
      <c r="F330" s="20" t="s">
        <v>132</v>
      </c>
      <c r="G330" s="397">
        <f>G331</f>
        <v>6</v>
      </c>
      <c r="H330" s="397">
        <f>H331</f>
        <v>0</v>
      </c>
      <c r="I330" s="192"/>
    </row>
    <row r="331" spans="1:9" s="191" customFormat="1" ht="31.5" x14ac:dyDescent="0.25">
      <c r="A331" s="396" t="s">
        <v>133</v>
      </c>
      <c r="B331" s="16">
        <v>903</v>
      </c>
      <c r="C331" s="20" t="s">
        <v>264</v>
      </c>
      <c r="D331" s="20" t="s">
        <v>215</v>
      </c>
      <c r="E331" s="20" t="s">
        <v>1025</v>
      </c>
      <c r="F331" s="20" t="s">
        <v>134</v>
      </c>
      <c r="G331" s="397">
        <v>6</v>
      </c>
      <c r="H331" s="397">
        <v>0</v>
      </c>
      <c r="I331" s="192"/>
    </row>
    <row r="332" spans="1:9" ht="47.25" x14ac:dyDescent="0.25">
      <c r="A332" s="400" t="s">
        <v>1351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393">
        <f>G334</f>
        <v>490.2</v>
      </c>
      <c r="H332" s="393">
        <f>H334</f>
        <v>509.8</v>
      </c>
      <c r="I332" s="192"/>
    </row>
    <row r="333" spans="1:9" ht="47.25" x14ac:dyDescent="0.25">
      <c r="A333" s="400" t="s">
        <v>889</v>
      </c>
      <c r="B333" s="19">
        <v>903</v>
      </c>
      <c r="C333" s="24" t="s">
        <v>264</v>
      </c>
      <c r="D333" s="24" t="s">
        <v>215</v>
      </c>
      <c r="E333" s="24" t="s">
        <v>887</v>
      </c>
      <c r="F333" s="24"/>
      <c r="G333" s="393">
        <f t="shared" ref="G333:H335" si="27">G334</f>
        <v>490.2</v>
      </c>
      <c r="H333" s="393">
        <f t="shared" si="27"/>
        <v>509.8</v>
      </c>
      <c r="I333" s="192"/>
    </row>
    <row r="334" spans="1:9" ht="47.25" x14ac:dyDescent="0.25">
      <c r="A334" s="98" t="s">
        <v>1003</v>
      </c>
      <c r="B334" s="20" t="s">
        <v>627</v>
      </c>
      <c r="C334" s="20" t="s">
        <v>264</v>
      </c>
      <c r="D334" s="20" t="s">
        <v>215</v>
      </c>
      <c r="E334" s="20" t="s">
        <v>888</v>
      </c>
      <c r="F334" s="32"/>
      <c r="G334" s="397">
        <f t="shared" si="27"/>
        <v>490.2</v>
      </c>
      <c r="H334" s="397">
        <f t="shared" si="27"/>
        <v>509.8</v>
      </c>
      <c r="I334" s="192"/>
    </row>
    <row r="335" spans="1:9" ht="31.5" x14ac:dyDescent="0.25">
      <c r="A335" s="396" t="s">
        <v>131</v>
      </c>
      <c r="B335" s="16">
        <v>903</v>
      </c>
      <c r="C335" s="20" t="s">
        <v>264</v>
      </c>
      <c r="D335" s="20" t="s">
        <v>215</v>
      </c>
      <c r="E335" s="20" t="s">
        <v>888</v>
      </c>
      <c r="F335" s="32" t="s">
        <v>132</v>
      </c>
      <c r="G335" s="397">
        <f t="shared" si="27"/>
        <v>490.2</v>
      </c>
      <c r="H335" s="397">
        <f t="shared" si="27"/>
        <v>509.8</v>
      </c>
      <c r="I335" s="192"/>
    </row>
    <row r="336" spans="1:9" ht="31.5" x14ac:dyDescent="0.25">
      <c r="A336" s="396" t="s">
        <v>133</v>
      </c>
      <c r="B336" s="16">
        <v>903</v>
      </c>
      <c r="C336" s="20" t="s">
        <v>264</v>
      </c>
      <c r="D336" s="20" t="s">
        <v>215</v>
      </c>
      <c r="E336" s="20" t="s">
        <v>888</v>
      </c>
      <c r="F336" s="32" t="s">
        <v>134</v>
      </c>
      <c r="G336" s="397">
        <v>490.2</v>
      </c>
      <c r="H336" s="397">
        <v>509.8</v>
      </c>
      <c r="I336" s="192"/>
    </row>
    <row r="337" spans="1:9" ht="15.75" x14ac:dyDescent="0.25">
      <c r="A337" s="394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393">
        <f>G338</f>
        <v>760</v>
      </c>
      <c r="H337" s="393">
        <f>H338</f>
        <v>825</v>
      </c>
      <c r="I337" s="192"/>
    </row>
    <row r="338" spans="1:9" ht="47.25" x14ac:dyDescent="0.25">
      <c r="A338" s="394" t="s">
        <v>1365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393">
        <f>G339</f>
        <v>760</v>
      </c>
      <c r="H338" s="393">
        <f>H339</f>
        <v>825</v>
      </c>
      <c r="I338" s="192"/>
    </row>
    <row r="339" spans="1:9" ht="31.5" x14ac:dyDescent="0.25">
      <c r="A339" s="394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393">
        <f>G340+G347+G353</f>
        <v>760</v>
      </c>
      <c r="H339" s="393">
        <f>H340+H347+H353</f>
        <v>825</v>
      </c>
      <c r="I339" s="192"/>
    </row>
    <row r="340" spans="1:9" ht="47.25" x14ac:dyDescent="0.25">
      <c r="A340" s="195" t="s">
        <v>1029</v>
      </c>
      <c r="B340" s="19">
        <v>903</v>
      </c>
      <c r="C340" s="24" t="s">
        <v>264</v>
      </c>
      <c r="D340" s="24" t="s">
        <v>264</v>
      </c>
      <c r="E340" s="24" t="s">
        <v>891</v>
      </c>
      <c r="F340" s="24"/>
      <c r="G340" s="393">
        <f>G341+G344</f>
        <v>280</v>
      </c>
      <c r="H340" s="393">
        <f>H341+H344</f>
        <v>280</v>
      </c>
      <c r="I340" s="192"/>
    </row>
    <row r="341" spans="1:9" ht="31.5" x14ac:dyDescent="0.25">
      <c r="A341" s="98" t="s">
        <v>1035</v>
      </c>
      <c r="B341" s="16">
        <v>903</v>
      </c>
      <c r="C341" s="20" t="s">
        <v>264</v>
      </c>
      <c r="D341" s="20" t="s">
        <v>264</v>
      </c>
      <c r="E341" s="20" t="s">
        <v>892</v>
      </c>
      <c r="F341" s="20"/>
      <c r="G341" s="397">
        <f>G342</f>
        <v>280</v>
      </c>
      <c r="H341" s="397">
        <f>H342</f>
        <v>280</v>
      </c>
      <c r="I341" s="192"/>
    </row>
    <row r="342" spans="1:9" ht="78.75" x14ac:dyDescent="0.25">
      <c r="A342" s="396" t="s">
        <v>127</v>
      </c>
      <c r="B342" s="16">
        <v>903</v>
      </c>
      <c r="C342" s="20" t="s">
        <v>264</v>
      </c>
      <c r="D342" s="20" t="s">
        <v>264</v>
      </c>
      <c r="E342" s="20" t="s">
        <v>892</v>
      </c>
      <c r="F342" s="20" t="s">
        <v>128</v>
      </c>
      <c r="G342" s="397">
        <f>G343</f>
        <v>280</v>
      </c>
      <c r="H342" s="397">
        <f>H343</f>
        <v>280</v>
      </c>
      <c r="I342" s="192"/>
    </row>
    <row r="343" spans="1:9" ht="31.5" x14ac:dyDescent="0.25">
      <c r="A343" s="396" t="s">
        <v>342</v>
      </c>
      <c r="B343" s="16">
        <v>903</v>
      </c>
      <c r="C343" s="20" t="s">
        <v>264</v>
      </c>
      <c r="D343" s="20" t="s">
        <v>264</v>
      </c>
      <c r="E343" s="20" t="s">
        <v>892</v>
      </c>
      <c r="F343" s="20" t="s">
        <v>209</v>
      </c>
      <c r="G343" s="397">
        <f>280</f>
        <v>280</v>
      </c>
      <c r="H343" s="397">
        <f t="shared" si="23"/>
        <v>280</v>
      </c>
      <c r="I343" s="192"/>
    </row>
    <row r="344" spans="1:9" ht="31.5" hidden="1" x14ac:dyDescent="0.25">
      <c r="A344" s="396" t="s">
        <v>1030</v>
      </c>
      <c r="B344" s="16">
        <v>903</v>
      </c>
      <c r="C344" s="20" t="s">
        <v>264</v>
      </c>
      <c r="D344" s="20" t="s">
        <v>264</v>
      </c>
      <c r="E344" s="20" t="s">
        <v>1047</v>
      </c>
      <c r="F344" s="20"/>
      <c r="G344" s="397">
        <f>'Пр.4 ведом.21'!G375</f>
        <v>0</v>
      </c>
      <c r="H344" s="397">
        <f t="shared" si="23"/>
        <v>0</v>
      </c>
      <c r="I344" s="192"/>
    </row>
    <row r="345" spans="1:9" ht="31.5" hidden="1" x14ac:dyDescent="0.25">
      <c r="A345" s="396" t="s">
        <v>131</v>
      </c>
      <c r="B345" s="16">
        <v>903</v>
      </c>
      <c r="C345" s="20" t="s">
        <v>264</v>
      </c>
      <c r="D345" s="20" t="s">
        <v>264</v>
      </c>
      <c r="E345" s="20" t="s">
        <v>1047</v>
      </c>
      <c r="F345" s="20" t="s">
        <v>132</v>
      </c>
      <c r="G345" s="397">
        <f>'Пр.4 ведом.21'!G376</f>
        <v>0</v>
      </c>
      <c r="H345" s="397">
        <f t="shared" si="23"/>
        <v>0</v>
      </c>
      <c r="I345" s="192"/>
    </row>
    <row r="346" spans="1:9" ht="31.5" hidden="1" x14ac:dyDescent="0.25">
      <c r="A346" s="396" t="s">
        <v>133</v>
      </c>
      <c r="B346" s="16">
        <v>903</v>
      </c>
      <c r="C346" s="20" t="s">
        <v>264</v>
      </c>
      <c r="D346" s="20" t="s">
        <v>264</v>
      </c>
      <c r="E346" s="20" t="s">
        <v>1047</v>
      </c>
      <c r="F346" s="20" t="s">
        <v>134</v>
      </c>
      <c r="G346" s="397">
        <f>'Пр.4 ведом.21'!G377</f>
        <v>0</v>
      </c>
      <c r="H346" s="397">
        <f t="shared" si="23"/>
        <v>0</v>
      </c>
      <c r="I346" s="192"/>
    </row>
    <row r="347" spans="1:9" ht="63" x14ac:dyDescent="0.25">
      <c r="A347" s="394" t="s">
        <v>1031</v>
      </c>
      <c r="B347" s="19">
        <v>903</v>
      </c>
      <c r="C347" s="24" t="s">
        <v>264</v>
      </c>
      <c r="D347" s="24" t="s">
        <v>264</v>
      </c>
      <c r="E347" s="24" t="s">
        <v>893</v>
      </c>
      <c r="F347" s="24"/>
      <c r="G347" s="393">
        <f>G348</f>
        <v>455</v>
      </c>
      <c r="H347" s="393">
        <f>H348</f>
        <v>520</v>
      </c>
      <c r="I347" s="192"/>
    </row>
    <row r="348" spans="1:9" ht="15.75" x14ac:dyDescent="0.25">
      <c r="A348" s="396" t="s">
        <v>1032</v>
      </c>
      <c r="B348" s="16">
        <v>903</v>
      </c>
      <c r="C348" s="20" t="s">
        <v>264</v>
      </c>
      <c r="D348" s="20" t="s">
        <v>264</v>
      </c>
      <c r="E348" s="20" t="s">
        <v>900</v>
      </c>
      <c r="F348" s="20"/>
      <c r="G348" s="397">
        <f>G349+G351</f>
        <v>455</v>
      </c>
      <c r="H348" s="397">
        <f>H349+H351</f>
        <v>520</v>
      </c>
      <c r="I348" s="192"/>
    </row>
    <row r="349" spans="1:9" ht="78.75" x14ac:dyDescent="0.25">
      <c r="A349" s="396" t="s">
        <v>127</v>
      </c>
      <c r="B349" s="16">
        <v>903</v>
      </c>
      <c r="C349" s="20" t="s">
        <v>264</v>
      </c>
      <c r="D349" s="20" t="s">
        <v>264</v>
      </c>
      <c r="E349" s="20" t="s">
        <v>900</v>
      </c>
      <c r="F349" s="20" t="s">
        <v>128</v>
      </c>
      <c r="G349" s="397">
        <f>G350</f>
        <v>40</v>
      </c>
      <c r="H349" s="397">
        <f>H350</f>
        <v>40</v>
      </c>
      <c r="I349" s="192"/>
    </row>
    <row r="350" spans="1:9" ht="31.5" x14ac:dyDescent="0.25">
      <c r="A350" s="396" t="s">
        <v>342</v>
      </c>
      <c r="B350" s="16">
        <v>903</v>
      </c>
      <c r="C350" s="20" t="s">
        <v>264</v>
      </c>
      <c r="D350" s="20" t="s">
        <v>264</v>
      </c>
      <c r="E350" s="20" t="s">
        <v>900</v>
      </c>
      <c r="F350" s="20" t="s">
        <v>209</v>
      </c>
      <c r="G350" s="397">
        <f>40</f>
        <v>40</v>
      </c>
      <c r="H350" s="397">
        <f t="shared" si="23"/>
        <v>40</v>
      </c>
      <c r="I350" s="192"/>
    </row>
    <row r="351" spans="1:9" ht="31.5" x14ac:dyDescent="0.25">
      <c r="A351" s="396" t="s">
        <v>131</v>
      </c>
      <c r="B351" s="16">
        <v>903</v>
      </c>
      <c r="C351" s="20" t="s">
        <v>264</v>
      </c>
      <c r="D351" s="20" t="s">
        <v>264</v>
      </c>
      <c r="E351" s="20" t="s">
        <v>900</v>
      </c>
      <c r="F351" s="20" t="s">
        <v>132</v>
      </c>
      <c r="G351" s="397">
        <f>G352</f>
        <v>415</v>
      </c>
      <c r="H351" s="397">
        <f>H352</f>
        <v>480</v>
      </c>
      <c r="I351" s="192"/>
    </row>
    <row r="352" spans="1:9" ht="31.5" x14ac:dyDescent="0.25">
      <c r="A352" s="396" t="s">
        <v>133</v>
      </c>
      <c r="B352" s="16">
        <v>903</v>
      </c>
      <c r="C352" s="20" t="s">
        <v>264</v>
      </c>
      <c r="D352" s="20" t="s">
        <v>264</v>
      </c>
      <c r="E352" s="20" t="s">
        <v>900</v>
      </c>
      <c r="F352" s="20" t="s">
        <v>134</v>
      </c>
      <c r="G352" s="397">
        <f>415</f>
        <v>415</v>
      </c>
      <c r="H352" s="397">
        <v>480</v>
      </c>
      <c r="I352" s="192"/>
    </row>
    <row r="353" spans="1:13" ht="31.5" x14ac:dyDescent="0.25">
      <c r="A353" s="394" t="s">
        <v>1037</v>
      </c>
      <c r="B353" s="19">
        <v>903</v>
      </c>
      <c r="C353" s="24" t="s">
        <v>264</v>
      </c>
      <c r="D353" s="24" t="s">
        <v>264</v>
      </c>
      <c r="E353" s="24" t="s">
        <v>1033</v>
      </c>
      <c r="F353" s="24"/>
      <c r="G353" s="393">
        <f t="shared" ref="G353:H355" si="28">G354</f>
        <v>25</v>
      </c>
      <c r="H353" s="393">
        <f t="shared" si="28"/>
        <v>25</v>
      </c>
      <c r="I353" s="192"/>
    </row>
    <row r="354" spans="1:13" ht="47.25" x14ac:dyDescent="0.25">
      <c r="A354" s="215" t="s">
        <v>1034</v>
      </c>
      <c r="B354" s="16">
        <v>903</v>
      </c>
      <c r="C354" s="20" t="s">
        <v>264</v>
      </c>
      <c r="D354" s="20" t="s">
        <v>264</v>
      </c>
      <c r="E354" s="20" t="s">
        <v>1048</v>
      </c>
      <c r="F354" s="20"/>
      <c r="G354" s="397">
        <f t="shared" si="28"/>
        <v>25</v>
      </c>
      <c r="H354" s="397">
        <f t="shared" si="28"/>
        <v>25</v>
      </c>
      <c r="I354" s="192"/>
    </row>
    <row r="355" spans="1:13" ht="31.5" x14ac:dyDescent="0.25">
      <c r="A355" s="396" t="s">
        <v>248</v>
      </c>
      <c r="B355" s="16">
        <v>903</v>
      </c>
      <c r="C355" s="20" t="s">
        <v>264</v>
      </c>
      <c r="D355" s="20" t="s">
        <v>264</v>
      </c>
      <c r="E355" s="20" t="s">
        <v>1048</v>
      </c>
      <c r="F355" s="20" t="s">
        <v>249</v>
      </c>
      <c r="G355" s="397">
        <f t="shared" si="28"/>
        <v>25</v>
      </c>
      <c r="H355" s="397">
        <f t="shared" si="28"/>
        <v>25</v>
      </c>
      <c r="I355" s="192"/>
    </row>
    <row r="356" spans="1:13" ht="31.5" x14ac:dyDescent="0.25">
      <c r="A356" s="396" t="s">
        <v>1194</v>
      </c>
      <c r="B356" s="16">
        <v>903</v>
      </c>
      <c r="C356" s="20" t="s">
        <v>264</v>
      </c>
      <c r="D356" s="20" t="s">
        <v>264</v>
      </c>
      <c r="E356" s="20" t="s">
        <v>1048</v>
      </c>
      <c r="F356" s="20" t="s">
        <v>1193</v>
      </c>
      <c r="G356" s="397">
        <f>25</f>
        <v>25</v>
      </c>
      <c r="H356" s="397">
        <f t="shared" si="23"/>
        <v>25</v>
      </c>
      <c r="I356" s="192"/>
    </row>
    <row r="357" spans="1:13" ht="15.75" x14ac:dyDescent="0.25">
      <c r="A357" s="394" t="s">
        <v>298</v>
      </c>
      <c r="B357" s="19">
        <v>903</v>
      </c>
      <c r="C357" s="24" t="s">
        <v>299</v>
      </c>
      <c r="D357" s="24"/>
      <c r="E357" s="24"/>
      <c r="F357" s="24"/>
      <c r="G357" s="393">
        <f>G358+G411</f>
        <v>76411.28</v>
      </c>
      <c r="H357" s="393">
        <f>H358+H411</f>
        <v>78971.679999999993</v>
      </c>
      <c r="I357" s="192"/>
    </row>
    <row r="358" spans="1:13" ht="15.75" x14ac:dyDescent="0.25">
      <c r="A358" s="394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393">
        <f>G359+G406+G401</f>
        <v>57844.87999999999</v>
      </c>
      <c r="H358" s="393">
        <f>H359+H406+H401</f>
        <v>60376.279999999992</v>
      </c>
      <c r="I358" s="192"/>
    </row>
    <row r="359" spans="1:13" ht="39.200000000000003" customHeight="1" x14ac:dyDescent="0.25">
      <c r="A359" s="394" t="s">
        <v>1366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393">
        <f>G360+G368+G374+G378+G385+G393+G389+G397</f>
        <v>56956.179999999993</v>
      </c>
      <c r="H359" s="393">
        <f>H360+H368+H374+H378+H385+H393+H389+H397</f>
        <v>59462.37999999999</v>
      </c>
      <c r="I359" s="192"/>
    </row>
    <row r="360" spans="1:13" ht="33.75" customHeight="1" x14ac:dyDescent="0.25">
      <c r="A360" s="394" t="s">
        <v>894</v>
      </c>
      <c r="B360" s="19">
        <v>903</v>
      </c>
      <c r="C360" s="24" t="s">
        <v>299</v>
      </c>
      <c r="D360" s="24" t="s">
        <v>118</v>
      </c>
      <c r="E360" s="24" t="s">
        <v>1201</v>
      </c>
      <c r="F360" s="24"/>
      <c r="G360" s="393">
        <f>G361</f>
        <v>51840.479999999996</v>
      </c>
      <c r="H360" s="393">
        <f>H361</f>
        <v>51840.479999999996</v>
      </c>
      <c r="I360" s="192"/>
    </row>
    <row r="361" spans="1:13" ht="15.75" x14ac:dyDescent="0.25">
      <c r="A361" s="396" t="s">
        <v>800</v>
      </c>
      <c r="B361" s="16">
        <v>903</v>
      </c>
      <c r="C361" s="20" t="s">
        <v>299</v>
      </c>
      <c r="D361" s="20" t="s">
        <v>118</v>
      </c>
      <c r="E361" s="20" t="s">
        <v>1202</v>
      </c>
      <c r="F361" s="20"/>
      <c r="G361" s="397">
        <f>G362+G364+G366</f>
        <v>51840.479999999996</v>
      </c>
      <c r="H361" s="397">
        <f>H362+H364+H366</f>
        <v>51840.479999999996</v>
      </c>
      <c r="I361" s="192"/>
      <c r="M361">
        <v>51840.58</v>
      </c>
    </row>
    <row r="362" spans="1:13" ht="78.75" x14ac:dyDescent="0.25">
      <c r="A362" s="396" t="s">
        <v>127</v>
      </c>
      <c r="B362" s="16">
        <v>903</v>
      </c>
      <c r="C362" s="20" t="s">
        <v>299</v>
      </c>
      <c r="D362" s="20" t="s">
        <v>118</v>
      </c>
      <c r="E362" s="20" t="s">
        <v>1202</v>
      </c>
      <c r="F362" s="20" t="s">
        <v>128</v>
      </c>
      <c r="G362" s="397">
        <f>G363</f>
        <v>43271.28</v>
      </c>
      <c r="H362" s="397">
        <f>H363</f>
        <v>43271.28</v>
      </c>
      <c r="I362" s="192"/>
    </row>
    <row r="363" spans="1:13" ht="15.75" x14ac:dyDescent="0.25">
      <c r="A363" s="396" t="s">
        <v>208</v>
      </c>
      <c r="B363" s="16">
        <v>903</v>
      </c>
      <c r="C363" s="20" t="s">
        <v>299</v>
      </c>
      <c r="D363" s="20" t="s">
        <v>118</v>
      </c>
      <c r="E363" s="20" t="s">
        <v>1202</v>
      </c>
      <c r="F363" s="20" t="s">
        <v>209</v>
      </c>
      <c r="G363" s="397">
        <v>43271.28</v>
      </c>
      <c r="H363" s="397">
        <f t="shared" si="23"/>
        <v>43271.28</v>
      </c>
      <c r="I363" s="192"/>
    </row>
    <row r="364" spans="1:13" ht="31.5" x14ac:dyDescent="0.25">
      <c r="A364" s="396" t="s">
        <v>131</v>
      </c>
      <c r="B364" s="16">
        <v>903</v>
      </c>
      <c r="C364" s="20" t="s">
        <v>299</v>
      </c>
      <c r="D364" s="20" t="s">
        <v>118</v>
      </c>
      <c r="E364" s="20" t="s">
        <v>1202</v>
      </c>
      <c r="F364" s="20" t="s">
        <v>132</v>
      </c>
      <c r="G364" s="397">
        <f>G365</f>
        <v>8506.2000000000007</v>
      </c>
      <c r="H364" s="397">
        <f>H365</f>
        <v>8506.2000000000007</v>
      </c>
      <c r="I364" s="192"/>
    </row>
    <row r="365" spans="1:13" ht="29.85" customHeight="1" x14ac:dyDescent="0.25">
      <c r="A365" s="396" t="s">
        <v>133</v>
      </c>
      <c r="B365" s="16">
        <v>903</v>
      </c>
      <c r="C365" s="20" t="s">
        <v>299</v>
      </c>
      <c r="D365" s="20" t="s">
        <v>118</v>
      </c>
      <c r="E365" s="20" t="s">
        <v>1202</v>
      </c>
      <c r="F365" s="20" t="s">
        <v>134</v>
      </c>
      <c r="G365" s="397">
        <v>8506.2000000000007</v>
      </c>
      <c r="H365" s="397">
        <f t="shared" si="23"/>
        <v>8506.2000000000007</v>
      </c>
      <c r="I365" s="192"/>
    </row>
    <row r="366" spans="1:13" ht="15.75" x14ac:dyDescent="0.25">
      <c r="A366" s="396" t="s">
        <v>135</v>
      </c>
      <c r="B366" s="16">
        <v>903</v>
      </c>
      <c r="C366" s="20" t="s">
        <v>299</v>
      </c>
      <c r="D366" s="20" t="s">
        <v>118</v>
      </c>
      <c r="E366" s="20" t="s">
        <v>1202</v>
      </c>
      <c r="F366" s="20" t="s">
        <v>145</v>
      </c>
      <c r="G366" s="397">
        <f>G367</f>
        <v>63</v>
      </c>
      <c r="H366" s="397">
        <f>H367</f>
        <v>63</v>
      </c>
      <c r="I366" s="192"/>
    </row>
    <row r="367" spans="1:13" ht="15.75" x14ac:dyDescent="0.25">
      <c r="A367" s="396" t="s">
        <v>568</v>
      </c>
      <c r="B367" s="16">
        <v>903</v>
      </c>
      <c r="C367" s="20" t="s">
        <v>299</v>
      </c>
      <c r="D367" s="20" t="s">
        <v>118</v>
      </c>
      <c r="E367" s="20" t="s">
        <v>1202</v>
      </c>
      <c r="F367" s="20" t="s">
        <v>138</v>
      </c>
      <c r="G367" s="397">
        <v>63</v>
      </c>
      <c r="H367" s="397">
        <f t="shared" ref="H367:H377" si="29">G367</f>
        <v>63</v>
      </c>
      <c r="I367" s="192"/>
    </row>
    <row r="368" spans="1:13" ht="31.5" x14ac:dyDescent="0.25">
      <c r="A368" s="201" t="s">
        <v>1301</v>
      </c>
      <c r="B368" s="19">
        <v>903</v>
      </c>
      <c r="C368" s="24" t="s">
        <v>299</v>
      </c>
      <c r="D368" s="24" t="s">
        <v>118</v>
      </c>
      <c r="E368" s="24" t="s">
        <v>1203</v>
      </c>
      <c r="F368" s="24"/>
      <c r="G368" s="393">
        <f>G369</f>
        <v>1380</v>
      </c>
      <c r="H368" s="393">
        <f>H369</f>
        <v>1380</v>
      </c>
      <c r="I368" s="192"/>
    </row>
    <row r="369" spans="1:9" ht="31.5" x14ac:dyDescent="0.25">
      <c r="A369" s="31" t="s">
        <v>815</v>
      </c>
      <c r="B369" s="16">
        <v>903</v>
      </c>
      <c r="C369" s="20" t="s">
        <v>299</v>
      </c>
      <c r="D369" s="20" t="s">
        <v>118</v>
      </c>
      <c r="E369" s="20" t="s">
        <v>1205</v>
      </c>
      <c r="F369" s="20"/>
      <c r="G369" s="397">
        <f>G370+G372</f>
        <v>1380</v>
      </c>
      <c r="H369" s="397">
        <f>H370+H372</f>
        <v>1380</v>
      </c>
      <c r="I369" s="192"/>
    </row>
    <row r="370" spans="1:9" ht="78.75" x14ac:dyDescent="0.25">
      <c r="A370" s="396" t="s">
        <v>127</v>
      </c>
      <c r="B370" s="16">
        <v>903</v>
      </c>
      <c r="C370" s="20" t="s">
        <v>299</v>
      </c>
      <c r="D370" s="20" t="s">
        <v>118</v>
      </c>
      <c r="E370" s="20" t="s">
        <v>895</v>
      </c>
      <c r="F370" s="20" t="s">
        <v>128</v>
      </c>
      <c r="G370" s="397">
        <f>G371</f>
        <v>0</v>
      </c>
      <c r="H370" s="397">
        <f>H371</f>
        <v>0</v>
      </c>
      <c r="I370" s="192"/>
    </row>
    <row r="371" spans="1:9" ht="15.75" x14ac:dyDescent="0.25">
      <c r="A371" s="396" t="s">
        <v>208</v>
      </c>
      <c r="B371" s="16">
        <v>903</v>
      </c>
      <c r="C371" s="20" t="s">
        <v>299</v>
      </c>
      <c r="D371" s="20" t="s">
        <v>118</v>
      </c>
      <c r="E371" s="20" t="s">
        <v>895</v>
      </c>
      <c r="F371" s="20" t="s">
        <v>209</v>
      </c>
      <c r="G371" s="397">
        <v>0</v>
      </c>
      <c r="H371" s="397">
        <v>0</v>
      </c>
      <c r="I371" s="192"/>
    </row>
    <row r="372" spans="1:9" ht="31.5" x14ac:dyDescent="0.25">
      <c r="A372" s="396" t="s">
        <v>131</v>
      </c>
      <c r="B372" s="16">
        <v>903</v>
      </c>
      <c r="C372" s="20" t="s">
        <v>299</v>
      </c>
      <c r="D372" s="20" t="s">
        <v>118</v>
      </c>
      <c r="E372" s="20" t="s">
        <v>1205</v>
      </c>
      <c r="F372" s="20" t="s">
        <v>132</v>
      </c>
      <c r="G372" s="397">
        <f>G373</f>
        <v>1380</v>
      </c>
      <c r="H372" s="397">
        <f>H373</f>
        <v>1380</v>
      </c>
      <c r="I372" s="192"/>
    </row>
    <row r="373" spans="1:9" ht="31.9" customHeight="1" x14ac:dyDescent="0.25">
      <c r="A373" s="396" t="s">
        <v>133</v>
      </c>
      <c r="B373" s="16">
        <v>903</v>
      </c>
      <c r="C373" s="20" t="s">
        <v>299</v>
      </c>
      <c r="D373" s="20" t="s">
        <v>118</v>
      </c>
      <c r="E373" s="20" t="s">
        <v>1205</v>
      </c>
      <c r="F373" s="20" t="s">
        <v>134</v>
      </c>
      <c r="G373" s="397">
        <f>380+1000</f>
        <v>1380</v>
      </c>
      <c r="H373" s="397">
        <f t="shared" si="29"/>
        <v>1380</v>
      </c>
      <c r="I373" s="192"/>
    </row>
    <row r="374" spans="1:9" ht="31.5" x14ac:dyDescent="0.25">
      <c r="A374" s="394" t="s">
        <v>946</v>
      </c>
      <c r="B374" s="19">
        <v>903</v>
      </c>
      <c r="C374" s="24" t="s">
        <v>299</v>
      </c>
      <c r="D374" s="24" t="s">
        <v>118</v>
      </c>
      <c r="E374" s="24" t="s">
        <v>1206</v>
      </c>
      <c r="F374" s="24"/>
      <c r="G374" s="44">
        <f t="shared" ref="G374:H376" si="30">G375</f>
        <v>875</v>
      </c>
      <c r="H374" s="44">
        <f t="shared" si="30"/>
        <v>875</v>
      </c>
      <c r="I374" s="192"/>
    </row>
    <row r="375" spans="1:9" ht="47.25" x14ac:dyDescent="0.25">
      <c r="A375" s="396" t="s">
        <v>838</v>
      </c>
      <c r="B375" s="16">
        <v>903</v>
      </c>
      <c r="C375" s="20" t="s">
        <v>299</v>
      </c>
      <c r="D375" s="20" t="s">
        <v>118</v>
      </c>
      <c r="E375" s="20" t="s">
        <v>1207</v>
      </c>
      <c r="F375" s="20"/>
      <c r="G375" s="397">
        <f t="shared" si="30"/>
        <v>875</v>
      </c>
      <c r="H375" s="397">
        <f t="shared" si="30"/>
        <v>875</v>
      </c>
      <c r="I375" s="192"/>
    </row>
    <row r="376" spans="1:9" ht="78.75" x14ac:dyDescent="0.25">
      <c r="A376" s="396" t="s">
        <v>127</v>
      </c>
      <c r="B376" s="16">
        <v>903</v>
      </c>
      <c r="C376" s="20" t="s">
        <v>299</v>
      </c>
      <c r="D376" s="20" t="s">
        <v>118</v>
      </c>
      <c r="E376" s="20" t="s">
        <v>1207</v>
      </c>
      <c r="F376" s="20" t="s">
        <v>128</v>
      </c>
      <c r="G376" s="397">
        <f t="shared" si="30"/>
        <v>875</v>
      </c>
      <c r="H376" s="397">
        <f t="shared" si="30"/>
        <v>875</v>
      </c>
      <c r="I376" s="192"/>
    </row>
    <row r="377" spans="1:9" ht="31.5" x14ac:dyDescent="0.25">
      <c r="A377" s="396" t="s">
        <v>129</v>
      </c>
      <c r="B377" s="16">
        <v>903</v>
      </c>
      <c r="C377" s="20" t="s">
        <v>299</v>
      </c>
      <c r="D377" s="20" t="s">
        <v>118</v>
      </c>
      <c r="E377" s="20" t="s">
        <v>1207</v>
      </c>
      <c r="F377" s="20" t="s">
        <v>209</v>
      </c>
      <c r="G377" s="397">
        <v>875</v>
      </c>
      <c r="H377" s="397">
        <f t="shared" si="29"/>
        <v>875</v>
      </c>
      <c r="I377" s="192"/>
    </row>
    <row r="378" spans="1:9" ht="47.25" x14ac:dyDescent="0.25">
      <c r="A378" s="202" t="s">
        <v>899</v>
      </c>
      <c r="B378" s="19">
        <v>903</v>
      </c>
      <c r="C378" s="24" t="s">
        <v>299</v>
      </c>
      <c r="D378" s="24" t="s">
        <v>118</v>
      </c>
      <c r="E378" s="24" t="s">
        <v>1208</v>
      </c>
      <c r="F378" s="24"/>
      <c r="G378" s="393">
        <f>G379+G382</f>
        <v>2442</v>
      </c>
      <c r="H378" s="393">
        <f>H379+H382</f>
        <v>2442</v>
      </c>
      <c r="I378" s="192"/>
    </row>
    <row r="379" spans="1:9" s="191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1402</v>
      </c>
      <c r="F379" s="20"/>
      <c r="G379" s="397">
        <f t="shared" ref="G379:H380" si="31">G380</f>
        <v>2100.6</v>
      </c>
      <c r="H379" s="397">
        <f t="shared" si="31"/>
        <v>2100.6</v>
      </c>
      <c r="I379" s="192"/>
    </row>
    <row r="380" spans="1:9" s="191" customFormat="1" ht="78.75" x14ac:dyDescent="0.25">
      <c r="A380" s="396" t="s">
        <v>127</v>
      </c>
      <c r="B380" s="16">
        <v>903</v>
      </c>
      <c r="C380" s="20" t="s">
        <v>299</v>
      </c>
      <c r="D380" s="20" t="s">
        <v>118</v>
      </c>
      <c r="E380" s="20" t="s">
        <v>1402</v>
      </c>
      <c r="F380" s="20" t="s">
        <v>128</v>
      </c>
      <c r="G380" s="397">
        <f t="shared" si="31"/>
        <v>2100.6</v>
      </c>
      <c r="H380" s="397">
        <f t="shared" si="31"/>
        <v>2100.6</v>
      </c>
      <c r="I380" s="192"/>
    </row>
    <row r="381" spans="1:9" s="191" customFormat="1" ht="15.75" x14ac:dyDescent="0.25">
      <c r="A381" s="396" t="s">
        <v>208</v>
      </c>
      <c r="B381" s="16">
        <v>903</v>
      </c>
      <c r="C381" s="20" t="s">
        <v>299</v>
      </c>
      <c r="D381" s="20" t="s">
        <v>118</v>
      </c>
      <c r="E381" s="20" t="s">
        <v>1402</v>
      </c>
      <c r="F381" s="20" t="s">
        <v>209</v>
      </c>
      <c r="G381" s="397">
        <v>2100.6</v>
      </c>
      <c r="H381" s="397">
        <f>G381</f>
        <v>2100.6</v>
      </c>
      <c r="I381" s="192"/>
    </row>
    <row r="382" spans="1:9" s="191" customFormat="1" ht="78.75" x14ac:dyDescent="0.25">
      <c r="A382" s="396" t="s">
        <v>331</v>
      </c>
      <c r="B382" s="16">
        <v>903</v>
      </c>
      <c r="C382" s="20" t="s">
        <v>299</v>
      </c>
      <c r="D382" s="20" t="s">
        <v>118</v>
      </c>
      <c r="E382" s="20" t="s">
        <v>1289</v>
      </c>
      <c r="F382" s="20"/>
      <c r="G382" s="397">
        <f>G383</f>
        <v>341.4</v>
      </c>
      <c r="H382" s="397">
        <f>H383</f>
        <v>341.4</v>
      </c>
      <c r="I382" s="192"/>
    </row>
    <row r="383" spans="1:9" s="191" customFormat="1" ht="78.75" x14ac:dyDescent="0.25">
      <c r="A383" s="396" t="s">
        <v>127</v>
      </c>
      <c r="B383" s="16">
        <v>903</v>
      </c>
      <c r="C383" s="20" t="s">
        <v>299</v>
      </c>
      <c r="D383" s="20" t="s">
        <v>118</v>
      </c>
      <c r="E383" s="20" t="s">
        <v>1289</v>
      </c>
      <c r="F383" s="20" t="s">
        <v>128</v>
      </c>
      <c r="G383" s="397">
        <f>G384</f>
        <v>341.4</v>
      </c>
      <c r="H383" s="397">
        <f>H384</f>
        <v>341.4</v>
      </c>
      <c r="I383" s="192"/>
    </row>
    <row r="384" spans="1:9" s="191" customFormat="1" ht="15.75" x14ac:dyDescent="0.25">
      <c r="A384" s="396" t="s">
        <v>208</v>
      </c>
      <c r="B384" s="16">
        <v>903</v>
      </c>
      <c r="C384" s="20" t="s">
        <v>299</v>
      </c>
      <c r="D384" s="20" t="s">
        <v>118</v>
      </c>
      <c r="E384" s="20" t="s">
        <v>1289</v>
      </c>
      <c r="F384" s="20" t="s">
        <v>209</v>
      </c>
      <c r="G384" s="397">
        <v>341.4</v>
      </c>
      <c r="H384" s="397">
        <f>G384</f>
        <v>341.4</v>
      </c>
      <c r="I384" s="192"/>
    </row>
    <row r="385" spans="1:13" s="191" customFormat="1" ht="31.5" x14ac:dyDescent="0.25">
      <c r="A385" s="394" t="s">
        <v>901</v>
      </c>
      <c r="B385" s="19">
        <v>903</v>
      </c>
      <c r="C385" s="24" t="s">
        <v>299</v>
      </c>
      <c r="D385" s="24" t="s">
        <v>118</v>
      </c>
      <c r="E385" s="24" t="s">
        <v>1213</v>
      </c>
      <c r="F385" s="24"/>
      <c r="G385" s="393">
        <f t="shared" ref="G385:H387" si="32">G386</f>
        <v>50</v>
      </c>
      <c r="H385" s="393">
        <f t="shared" si="32"/>
        <v>50</v>
      </c>
      <c r="I385" s="192"/>
    </row>
    <row r="386" spans="1:13" s="191" customFormat="1" ht="31.5" x14ac:dyDescent="0.25">
      <c r="A386" s="396" t="s">
        <v>820</v>
      </c>
      <c r="B386" s="16">
        <v>903</v>
      </c>
      <c r="C386" s="20" t="s">
        <v>299</v>
      </c>
      <c r="D386" s="20" t="s">
        <v>118</v>
      </c>
      <c r="E386" s="20" t="s">
        <v>1214</v>
      </c>
      <c r="F386" s="20"/>
      <c r="G386" s="397">
        <f t="shared" si="32"/>
        <v>50</v>
      </c>
      <c r="H386" s="397">
        <f t="shared" si="32"/>
        <v>50</v>
      </c>
      <c r="I386" s="192"/>
    </row>
    <row r="387" spans="1:13" s="191" customFormat="1" ht="31.5" x14ac:dyDescent="0.25">
      <c r="A387" s="396" t="s">
        <v>131</v>
      </c>
      <c r="B387" s="16">
        <v>903</v>
      </c>
      <c r="C387" s="20" t="s">
        <v>299</v>
      </c>
      <c r="D387" s="20" t="s">
        <v>118</v>
      </c>
      <c r="E387" s="20" t="s">
        <v>1214</v>
      </c>
      <c r="F387" s="20" t="s">
        <v>132</v>
      </c>
      <c r="G387" s="397">
        <f t="shared" si="32"/>
        <v>50</v>
      </c>
      <c r="H387" s="397">
        <f t="shared" si="32"/>
        <v>50</v>
      </c>
      <c r="I387" s="192"/>
    </row>
    <row r="388" spans="1:13" s="191" customFormat="1" ht="31.5" x14ac:dyDescent="0.25">
      <c r="A388" s="396" t="s">
        <v>133</v>
      </c>
      <c r="B388" s="16">
        <v>903</v>
      </c>
      <c r="C388" s="20" t="s">
        <v>299</v>
      </c>
      <c r="D388" s="20" t="s">
        <v>118</v>
      </c>
      <c r="E388" s="20" t="s">
        <v>1214</v>
      </c>
      <c r="F388" s="20" t="s">
        <v>134</v>
      </c>
      <c r="G388" s="397">
        <v>50</v>
      </c>
      <c r="H388" s="397">
        <v>50</v>
      </c>
      <c r="I388" s="192"/>
    </row>
    <row r="389" spans="1:13" s="191" customFormat="1" ht="31.5" x14ac:dyDescent="0.25">
      <c r="A389" s="394" t="s">
        <v>1009</v>
      </c>
      <c r="B389" s="19">
        <v>903</v>
      </c>
      <c r="C389" s="24" t="s">
        <v>299</v>
      </c>
      <c r="D389" s="24" t="s">
        <v>118</v>
      </c>
      <c r="E389" s="24" t="s">
        <v>1215</v>
      </c>
      <c r="F389" s="24"/>
      <c r="G389" s="393">
        <f t="shared" ref="G389:H391" si="33">G390</f>
        <v>68.7</v>
      </c>
      <c r="H389" s="393">
        <f t="shared" si="33"/>
        <v>68.7</v>
      </c>
      <c r="I389" s="192"/>
    </row>
    <row r="390" spans="1:13" s="191" customFormat="1" ht="31.5" x14ac:dyDescent="0.25">
      <c r="A390" s="396" t="s">
        <v>1465</v>
      </c>
      <c r="B390" s="16">
        <v>903</v>
      </c>
      <c r="C390" s="20" t="s">
        <v>299</v>
      </c>
      <c r="D390" s="20" t="s">
        <v>118</v>
      </c>
      <c r="E390" s="20" t="s">
        <v>1216</v>
      </c>
      <c r="F390" s="20"/>
      <c r="G390" s="397">
        <f t="shared" si="33"/>
        <v>68.7</v>
      </c>
      <c r="H390" s="397">
        <f t="shared" si="33"/>
        <v>68.7</v>
      </c>
      <c r="I390" s="192"/>
    </row>
    <row r="391" spans="1:13" s="191" customFormat="1" ht="31.5" x14ac:dyDescent="0.25">
      <c r="A391" s="396" t="s">
        <v>131</v>
      </c>
      <c r="B391" s="16">
        <v>903</v>
      </c>
      <c r="C391" s="20" t="s">
        <v>299</v>
      </c>
      <c r="D391" s="20" t="s">
        <v>118</v>
      </c>
      <c r="E391" s="20" t="s">
        <v>1216</v>
      </c>
      <c r="F391" s="20" t="s">
        <v>132</v>
      </c>
      <c r="G391" s="397">
        <f t="shared" si="33"/>
        <v>68.7</v>
      </c>
      <c r="H391" s="397">
        <f t="shared" si="33"/>
        <v>68.7</v>
      </c>
      <c r="I391" s="192"/>
    </row>
    <row r="392" spans="1:13" s="191" customFormat="1" ht="31.5" x14ac:dyDescent="0.25">
      <c r="A392" s="396" t="s">
        <v>133</v>
      </c>
      <c r="B392" s="16">
        <v>903</v>
      </c>
      <c r="C392" s="20" t="s">
        <v>299</v>
      </c>
      <c r="D392" s="20" t="s">
        <v>118</v>
      </c>
      <c r="E392" s="20" t="s">
        <v>1216</v>
      </c>
      <c r="F392" s="20" t="s">
        <v>134</v>
      </c>
      <c r="G392" s="397">
        <f>3.5+65.2</f>
        <v>68.7</v>
      </c>
      <c r="H392" s="397">
        <f t="shared" ref="H392" si="34">G392</f>
        <v>68.7</v>
      </c>
      <c r="I392" s="192"/>
    </row>
    <row r="393" spans="1:13" s="191" customFormat="1" ht="31.5" x14ac:dyDescent="0.25">
      <c r="A393" s="195" t="s">
        <v>1177</v>
      </c>
      <c r="B393" s="19">
        <v>903</v>
      </c>
      <c r="C393" s="24" t="s">
        <v>299</v>
      </c>
      <c r="D393" s="24" t="s">
        <v>118</v>
      </c>
      <c r="E393" s="24" t="s">
        <v>1211</v>
      </c>
      <c r="F393" s="24"/>
      <c r="G393" s="393">
        <f t="shared" ref="G393:H395" si="35">G394</f>
        <v>300</v>
      </c>
      <c r="H393" s="393">
        <f t="shared" si="35"/>
        <v>2806.2</v>
      </c>
      <c r="I393" s="192"/>
    </row>
    <row r="394" spans="1:13" s="191" customFormat="1" ht="15.75" x14ac:dyDescent="0.25">
      <c r="A394" s="98" t="s">
        <v>1184</v>
      </c>
      <c r="B394" s="16">
        <v>903</v>
      </c>
      <c r="C394" s="20" t="s">
        <v>299</v>
      </c>
      <c r="D394" s="20" t="s">
        <v>118</v>
      </c>
      <c r="E394" s="20" t="s">
        <v>1212</v>
      </c>
      <c r="F394" s="20"/>
      <c r="G394" s="397">
        <f t="shared" si="35"/>
        <v>300</v>
      </c>
      <c r="H394" s="397">
        <f t="shared" si="35"/>
        <v>2806.2</v>
      </c>
      <c r="I394" s="192"/>
    </row>
    <row r="395" spans="1:13" s="191" customFormat="1" ht="31.5" x14ac:dyDescent="0.25">
      <c r="A395" s="396" t="s">
        <v>131</v>
      </c>
      <c r="B395" s="16">
        <v>903</v>
      </c>
      <c r="C395" s="20" t="s">
        <v>299</v>
      </c>
      <c r="D395" s="20" t="s">
        <v>118</v>
      </c>
      <c r="E395" s="20" t="s">
        <v>1212</v>
      </c>
      <c r="F395" s="20" t="s">
        <v>132</v>
      </c>
      <c r="G395" s="397">
        <f>G396</f>
        <v>300</v>
      </c>
      <c r="H395" s="397">
        <f t="shared" si="35"/>
        <v>2806.2</v>
      </c>
      <c r="I395" s="192"/>
    </row>
    <row r="396" spans="1:13" s="191" customFormat="1" ht="31.5" x14ac:dyDescent="0.25">
      <c r="A396" s="396" t="s">
        <v>133</v>
      </c>
      <c r="B396" s="16">
        <v>903</v>
      </c>
      <c r="C396" s="20" t="s">
        <v>299</v>
      </c>
      <c r="D396" s="20" t="s">
        <v>118</v>
      </c>
      <c r="E396" s="20" t="s">
        <v>1212</v>
      </c>
      <c r="F396" s="20" t="s">
        <v>134</v>
      </c>
      <c r="G396" s="397">
        <f>300</f>
        <v>300</v>
      </c>
      <c r="H396" s="397">
        <f>1500+1306.2</f>
        <v>2806.2</v>
      </c>
      <c r="I396" s="192"/>
      <c r="M396" s="191" t="s">
        <v>1684</v>
      </c>
    </row>
    <row r="397" spans="1:13" s="191" customFormat="1" ht="31.5" hidden="1" x14ac:dyDescent="0.25">
      <c r="A397" s="302" t="s">
        <v>1330</v>
      </c>
      <c r="B397" s="19">
        <v>903</v>
      </c>
      <c r="C397" s="24" t="s">
        <v>299</v>
      </c>
      <c r="D397" s="24" t="s">
        <v>118</v>
      </c>
      <c r="E397" s="24"/>
      <c r="F397" s="24"/>
      <c r="G397" s="393">
        <f t="shared" ref="G397:H399" si="36">G398</f>
        <v>0</v>
      </c>
      <c r="H397" s="393">
        <f t="shared" si="36"/>
        <v>0</v>
      </c>
      <c r="I397" s="192"/>
    </row>
    <row r="398" spans="1:13" s="191" customFormat="1" ht="15.75" hidden="1" x14ac:dyDescent="0.25">
      <c r="A398" s="396"/>
      <c r="B398" s="16">
        <v>903</v>
      </c>
      <c r="C398" s="20" t="s">
        <v>299</v>
      </c>
      <c r="D398" s="20" t="s">
        <v>118</v>
      </c>
      <c r="E398" s="20"/>
      <c r="F398" s="20"/>
      <c r="G398" s="397">
        <f t="shared" si="36"/>
        <v>0</v>
      </c>
      <c r="H398" s="397">
        <f t="shared" si="36"/>
        <v>0</v>
      </c>
      <c r="I398" s="192"/>
    </row>
    <row r="399" spans="1:13" s="191" customFormat="1" ht="31.5" hidden="1" x14ac:dyDescent="0.25">
      <c r="A399" s="396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397">
        <f t="shared" si="36"/>
        <v>0</v>
      </c>
      <c r="H399" s="397">
        <f t="shared" si="36"/>
        <v>0</v>
      </c>
      <c r="I399" s="192"/>
    </row>
    <row r="400" spans="1:13" s="191" customFormat="1" ht="31.5" hidden="1" x14ac:dyDescent="0.25">
      <c r="A400" s="396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397">
        <v>0</v>
      </c>
      <c r="H400" s="397">
        <v>0</v>
      </c>
      <c r="I400" s="192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393">
        <f>G403</f>
        <v>10</v>
      </c>
      <c r="H401" s="393">
        <f>H403</f>
        <v>0</v>
      </c>
      <c r="I401" s="192"/>
    </row>
    <row r="402" spans="1:9" ht="63" x14ac:dyDescent="0.25">
      <c r="A402" s="34" t="s">
        <v>1024</v>
      </c>
      <c r="B402" s="19">
        <v>903</v>
      </c>
      <c r="C402" s="24" t="s">
        <v>299</v>
      </c>
      <c r="D402" s="24" t="s">
        <v>118</v>
      </c>
      <c r="E402" s="24" t="s">
        <v>933</v>
      </c>
      <c r="F402" s="24"/>
      <c r="G402" s="393">
        <f>G405</f>
        <v>10</v>
      </c>
      <c r="H402" s="393">
        <f>H405</f>
        <v>0</v>
      </c>
      <c r="I402" s="192"/>
    </row>
    <row r="403" spans="1:9" ht="47.25" x14ac:dyDescent="0.25">
      <c r="A403" s="31" t="s">
        <v>1081</v>
      </c>
      <c r="B403" s="16">
        <v>903</v>
      </c>
      <c r="C403" s="20" t="s">
        <v>299</v>
      </c>
      <c r="D403" s="20" t="s">
        <v>118</v>
      </c>
      <c r="E403" s="20" t="s">
        <v>1025</v>
      </c>
      <c r="F403" s="20"/>
      <c r="G403" s="397">
        <f>G404</f>
        <v>10</v>
      </c>
      <c r="H403" s="397">
        <f>H404</f>
        <v>0</v>
      </c>
      <c r="I403" s="192"/>
    </row>
    <row r="404" spans="1:9" ht="31.5" x14ac:dyDescent="0.25">
      <c r="A404" s="396" t="s">
        <v>131</v>
      </c>
      <c r="B404" s="16">
        <v>903</v>
      </c>
      <c r="C404" s="20" t="s">
        <v>299</v>
      </c>
      <c r="D404" s="20" t="s">
        <v>118</v>
      </c>
      <c r="E404" s="20" t="s">
        <v>1025</v>
      </c>
      <c r="F404" s="20" t="s">
        <v>132</v>
      </c>
      <c r="G404" s="397">
        <f>G405</f>
        <v>10</v>
      </c>
      <c r="H404" s="397">
        <f>H405</f>
        <v>0</v>
      </c>
      <c r="I404" s="192"/>
    </row>
    <row r="405" spans="1:9" ht="31.5" x14ac:dyDescent="0.25">
      <c r="A405" s="396" t="s">
        <v>133</v>
      </c>
      <c r="B405" s="16">
        <v>903</v>
      </c>
      <c r="C405" s="20" t="s">
        <v>299</v>
      </c>
      <c r="D405" s="20" t="s">
        <v>118</v>
      </c>
      <c r="E405" s="20" t="s">
        <v>1025</v>
      </c>
      <c r="F405" s="20" t="s">
        <v>134</v>
      </c>
      <c r="G405" s="397">
        <v>10</v>
      </c>
      <c r="H405" s="397">
        <v>0</v>
      </c>
      <c r="I405" s="192"/>
    </row>
    <row r="406" spans="1:9" ht="47.25" x14ac:dyDescent="0.25">
      <c r="A406" s="400" t="s">
        <v>1349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06"/>
      <c r="G406" s="393">
        <f t="shared" ref="G406:H409" si="37">G407</f>
        <v>878.7</v>
      </c>
      <c r="H406" s="393">
        <f t="shared" si="37"/>
        <v>913.9</v>
      </c>
      <c r="I406" s="192"/>
    </row>
    <row r="407" spans="1:9" ht="47.25" x14ac:dyDescent="0.25">
      <c r="A407" s="400" t="s">
        <v>889</v>
      </c>
      <c r="B407" s="19">
        <v>903</v>
      </c>
      <c r="C407" s="24" t="s">
        <v>299</v>
      </c>
      <c r="D407" s="24" t="s">
        <v>118</v>
      </c>
      <c r="E407" s="24" t="s">
        <v>887</v>
      </c>
      <c r="F407" s="206"/>
      <c r="G407" s="393">
        <f t="shared" si="37"/>
        <v>878.7</v>
      </c>
      <c r="H407" s="393">
        <f t="shared" si="37"/>
        <v>913.9</v>
      </c>
      <c r="I407" s="192"/>
    </row>
    <row r="408" spans="1:9" ht="41.25" customHeight="1" x14ac:dyDescent="0.25">
      <c r="A408" s="98" t="s">
        <v>1021</v>
      </c>
      <c r="B408" s="16">
        <v>903</v>
      </c>
      <c r="C408" s="20" t="s">
        <v>299</v>
      </c>
      <c r="D408" s="20" t="s">
        <v>118</v>
      </c>
      <c r="E408" s="20" t="s">
        <v>888</v>
      </c>
      <c r="F408" s="32"/>
      <c r="G408" s="397">
        <f t="shared" si="37"/>
        <v>878.7</v>
      </c>
      <c r="H408" s="397">
        <f t="shared" si="37"/>
        <v>913.9</v>
      </c>
      <c r="I408" s="192"/>
    </row>
    <row r="409" spans="1:9" ht="31.5" x14ac:dyDescent="0.25">
      <c r="A409" s="396" t="s">
        <v>131</v>
      </c>
      <c r="B409" s="16">
        <v>903</v>
      </c>
      <c r="C409" s="20" t="s">
        <v>299</v>
      </c>
      <c r="D409" s="20" t="s">
        <v>118</v>
      </c>
      <c r="E409" s="20" t="s">
        <v>888</v>
      </c>
      <c r="F409" s="32" t="s">
        <v>132</v>
      </c>
      <c r="G409" s="397">
        <f t="shared" si="37"/>
        <v>878.7</v>
      </c>
      <c r="H409" s="397">
        <f t="shared" si="37"/>
        <v>913.9</v>
      </c>
      <c r="I409" s="192"/>
    </row>
    <row r="410" spans="1:9" ht="31.5" x14ac:dyDescent="0.25">
      <c r="A410" s="396" t="s">
        <v>133</v>
      </c>
      <c r="B410" s="16">
        <v>903</v>
      </c>
      <c r="C410" s="20" t="s">
        <v>299</v>
      </c>
      <c r="D410" s="20" t="s">
        <v>118</v>
      </c>
      <c r="E410" s="20" t="s">
        <v>888</v>
      </c>
      <c r="F410" s="32" t="s">
        <v>134</v>
      </c>
      <c r="G410" s="397">
        <v>878.7</v>
      </c>
      <c r="H410" s="397">
        <v>913.9</v>
      </c>
      <c r="I410" s="192"/>
    </row>
    <row r="411" spans="1:9" ht="31.5" x14ac:dyDescent="0.25">
      <c r="A411" s="394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393">
        <f>G412+G422+G434+G440</f>
        <v>18566.400000000001</v>
      </c>
      <c r="H411" s="393">
        <f>H412+H422+H434+H440</f>
        <v>18595.400000000001</v>
      </c>
      <c r="I411" s="192"/>
    </row>
    <row r="412" spans="1:9" ht="31.5" x14ac:dyDescent="0.25">
      <c r="A412" s="394" t="s">
        <v>916</v>
      </c>
      <c r="B412" s="19">
        <v>903</v>
      </c>
      <c r="C412" s="24" t="s">
        <v>299</v>
      </c>
      <c r="D412" s="24" t="s">
        <v>150</v>
      </c>
      <c r="E412" s="24" t="s">
        <v>857</v>
      </c>
      <c r="F412" s="24"/>
      <c r="G412" s="393">
        <f>G413</f>
        <v>7291.6</v>
      </c>
      <c r="H412" s="393">
        <f>H413</f>
        <v>7291.6</v>
      </c>
      <c r="I412" s="192"/>
    </row>
    <row r="413" spans="1:9" ht="15.75" x14ac:dyDescent="0.25">
      <c r="A413" s="394" t="s">
        <v>917</v>
      </c>
      <c r="B413" s="19">
        <v>903</v>
      </c>
      <c r="C413" s="24" t="s">
        <v>299</v>
      </c>
      <c r="D413" s="24" t="s">
        <v>150</v>
      </c>
      <c r="E413" s="24" t="s">
        <v>858</v>
      </c>
      <c r="F413" s="24"/>
      <c r="G413" s="393">
        <f>G414+G419</f>
        <v>7291.6</v>
      </c>
      <c r="H413" s="393">
        <f>H414+H419</f>
        <v>7291.6</v>
      </c>
      <c r="I413" s="192"/>
    </row>
    <row r="414" spans="1:9" ht="31.5" x14ac:dyDescent="0.25">
      <c r="A414" s="396" t="s">
        <v>896</v>
      </c>
      <c r="B414" s="16">
        <v>903</v>
      </c>
      <c r="C414" s="20" t="s">
        <v>299</v>
      </c>
      <c r="D414" s="20" t="s">
        <v>150</v>
      </c>
      <c r="E414" s="20" t="s">
        <v>859</v>
      </c>
      <c r="F414" s="20"/>
      <c r="G414" s="397">
        <f>G415</f>
        <v>7015.6</v>
      </c>
      <c r="H414" s="397">
        <f>H415</f>
        <v>7015.6</v>
      </c>
      <c r="I414" s="192"/>
    </row>
    <row r="415" spans="1:9" ht="78.75" x14ac:dyDescent="0.25">
      <c r="A415" s="396" t="s">
        <v>127</v>
      </c>
      <c r="B415" s="16">
        <v>903</v>
      </c>
      <c r="C415" s="20" t="s">
        <v>299</v>
      </c>
      <c r="D415" s="20" t="s">
        <v>150</v>
      </c>
      <c r="E415" s="20" t="s">
        <v>859</v>
      </c>
      <c r="F415" s="20" t="s">
        <v>128</v>
      </c>
      <c r="G415" s="397">
        <f>G416</f>
        <v>7015.6</v>
      </c>
      <c r="H415" s="397">
        <f>H416</f>
        <v>7015.6</v>
      </c>
      <c r="I415" s="192"/>
    </row>
    <row r="416" spans="1:9" ht="31.5" x14ac:dyDescent="0.25">
      <c r="A416" s="396" t="s">
        <v>129</v>
      </c>
      <c r="B416" s="16">
        <v>903</v>
      </c>
      <c r="C416" s="20" t="s">
        <v>299</v>
      </c>
      <c r="D416" s="20" t="s">
        <v>150</v>
      </c>
      <c r="E416" s="20" t="s">
        <v>859</v>
      </c>
      <c r="F416" s="20" t="s">
        <v>130</v>
      </c>
      <c r="G416" s="397">
        <v>7015.6</v>
      </c>
      <c r="H416" s="397">
        <f t="shared" ref="H416:H499" si="38">G416</f>
        <v>7015.6</v>
      </c>
      <c r="I416" s="192"/>
    </row>
    <row r="417" spans="1:9" ht="31.5" hidden="1" x14ac:dyDescent="0.25">
      <c r="A417" s="396" t="s">
        <v>131</v>
      </c>
      <c r="B417" s="16">
        <v>903</v>
      </c>
      <c r="C417" s="20" t="s">
        <v>299</v>
      </c>
      <c r="D417" s="20" t="s">
        <v>150</v>
      </c>
      <c r="E417" s="20" t="s">
        <v>859</v>
      </c>
      <c r="F417" s="20" t="s">
        <v>132</v>
      </c>
      <c r="G417" s="397">
        <f>'Пр.4 ведом.21'!G463</f>
        <v>0</v>
      </c>
      <c r="H417" s="397">
        <f t="shared" si="38"/>
        <v>0</v>
      </c>
      <c r="I417" s="192"/>
    </row>
    <row r="418" spans="1:9" ht="31.5" hidden="1" x14ac:dyDescent="0.25">
      <c r="A418" s="396" t="s">
        <v>133</v>
      </c>
      <c r="B418" s="16">
        <v>903</v>
      </c>
      <c r="C418" s="20" t="s">
        <v>299</v>
      </c>
      <c r="D418" s="20" t="s">
        <v>150</v>
      </c>
      <c r="E418" s="20" t="s">
        <v>859</v>
      </c>
      <c r="F418" s="20" t="s">
        <v>134</v>
      </c>
      <c r="G418" s="397">
        <f>'Пр.4 ведом.21'!G464</f>
        <v>0</v>
      </c>
      <c r="H418" s="397">
        <f t="shared" si="38"/>
        <v>0</v>
      </c>
      <c r="I418" s="192"/>
    </row>
    <row r="419" spans="1:9" ht="47.25" x14ac:dyDescent="0.25">
      <c r="A419" s="396" t="s">
        <v>838</v>
      </c>
      <c r="B419" s="16">
        <v>903</v>
      </c>
      <c r="C419" s="20" t="s">
        <v>299</v>
      </c>
      <c r="D419" s="20" t="s">
        <v>150</v>
      </c>
      <c r="E419" s="20" t="s">
        <v>861</v>
      </c>
      <c r="F419" s="20"/>
      <c r="G419" s="397">
        <f>G420</f>
        <v>276</v>
      </c>
      <c r="H419" s="397">
        <f>H420</f>
        <v>276</v>
      </c>
      <c r="I419" s="192"/>
    </row>
    <row r="420" spans="1:9" ht="78.75" x14ac:dyDescent="0.25">
      <c r="A420" s="396" t="s">
        <v>127</v>
      </c>
      <c r="B420" s="16">
        <v>903</v>
      </c>
      <c r="C420" s="20" t="s">
        <v>299</v>
      </c>
      <c r="D420" s="20" t="s">
        <v>150</v>
      </c>
      <c r="E420" s="20" t="s">
        <v>861</v>
      </c>
      <c r="F420" s="20" t="s">
        <v>128</v>
      </c>
      <c r="G420" s="397">
        <f>G421</f>
        <v>276</v>
      </c>
      <c r="H420" s="397">
        <f>H421</f>
        <v>276</v>
      </c>
      <c r="I420" s="192"/>
    </row>
    <row r="421" spans="1:9" ht="31.5" x14ac:dyDescent="0.25">
      <c r="A421" s="396" t="s">
        <v>129</v>
      </c>
      <c r="B421" s="16">
        <v>903</v>
      </c>
      <c r="C421" s="20" t="s">
        <v>299</v>
      </c>
      <c r="D421" s="20" t="s">
        <v>150</v>
      </c>
      <c r="E421" s="20" t="s">
        <v>861</v>
      </c>
      <c r="F421" s="20" t="s">
        <v>130</v>
      </c>
      <c r="G421" s="397">
        <v>276</v>
      </c>
      <c r="H421" s="397">
        <f t="shared" si="38"/>
        <v>276</v>
      </c>
      <c r="I421" s="192"/>
    </row>
    <row r="422" spans="1:9" ht="15.75" x14ac:dyDescent="0.25">
      <c r="A422" s="394" t="s">
        <v>925</v>
      </c>
      <c r="B422" s="19">
        <v>903</v>
      </c>
      <c r="C422" s="24" t="s">
        <v>299</v>
      </c>
      <c r="D422" s="24" t="s">
        <v>150</v>
      </c>
      <c r="E422" s="24" t="s">
        <v>865</v>
      </c>
      <c r="F422" s="24"/>
      <c r="G422" s="393">
        <f>G423</f>
        <v>11014.8</v>
      </c>
      <c r="H422" s="393">
        <f>H423</f>
        <v>11014.8</v>
      </c>
      <c r="I422" s="192"/>
    </row>
    <row r="423" spans="1:9" ht="31.5" x14ac:dyDescent="0.25">
      <c r="A423" s="394" t="s">
        <v>928</v>
      </c>
      <c r="B423" s="19">
        <v>903</v>
      </c>
      <c r="C423" s="24" t="s">
        <v>299</v>
      </c>
      <c r="D423" s="24" t="s">
        <v>150</v>
      </c>
      <c r="E423" s="24" t="s">
        <v>913</v>
      </c>
      <c r="F423" s="24"/>
      <c r="G423" s="393">
        <f>G424+G431</f>
        <v>11014.8</v>
      </c>
      <c r="H423" s="393">
        <f>H424+H431</f>
        <v>11014.8</v>
      </c>
      <c r="I423" s="192"/>
    </row>
    <row r="424" spans="1:9" ht="31.5" x14ac:dyDescent="0.25">
      <c r="A424" s="396" t="s">
        <v>902</v>
      </c>
      <c r="B424" s="16">
        <v>903</v>
      </c>
      <c r="C424" s="20" t="s">
        <v>299</v>
      </c>
      <c r="D424" s="20" t="s">
        <v>150</v>
      </c>
      <c r="E424" s="20" t="s">
        <v>914</v>
      </c>
      <c r="F424" s="20"/>
      <c r="G424" s="397">
        <f>G425+G427+G429</f>
        <v>10804.8</v>
      </c>
      <c r="H424" s="397">
        <f>H425+H427+H429</f>
        <v>10804.8</v>
      </c>
      <c r="I424" s="192"/>
    </row>
    <row r="425" spans="1:9" ht="78.75" x14ac:dyDescent="0.25">
      <c r="A425" s="396" t="s">
        <v>127</v>
      </c>
      <c r="B425" s="16">
        <v>903</v>
      </c>
      <c r="C425" s="20" t="s">
        <v>299</v>
      </c>
      <c r="D425" s="20" t="s">
        <v>150</v>
      </c>
      <c r="E425" s="20" t="s">
        <v>914</v>
      </c>
      <c r="F425" s="20" t="s">
        <v>128</v>
      </c>
      <c r="G425" s="397">
        <f>G426</f>
        <v>8853.7999999999993</v>
      </c>
      <c r="H425" s="397">
        <f>H426</f>
        <v>8853.7999999999993</v>
      </c>
      <c r="I425" s="192"/>
    </row>
    <row r="426" spans="1:9" ht="24.75" customHeight="1" x14ac:dyDescent="0.25">
      <c r="A426" s="396" t="s">
        <v>342</v>
      </c>
      <c r="B426" s="16">
        <v>903</v>
      </c>
      <c r="C426" s="20" t="s">
        <v>299</v>
      </c>
      <c r="D426" s="20" t="s">
        <v>150</v>
      </c>
      <c r="E426" s="20" t="s">
        <v>914</v>
      </c>
      <c r="F426" s="20" t="s">
        <v>209</v>
      </c>
      <c r="G426" s="397">
        <v>8853.7999999999993</v>
      </c>
      <c r="H426" s="397">
        <f t="shared" si="38"/>
        <v>8853.7999999999993</v>
      </c>
      <c r="I426" s="192"/>
    </row>
    <row r="427" spans="1:9" ht="31.5" x14ac:dyDescent="0.25">
      <c r="A427" s="396" t="s">
        <v>131</v>
      </c>
      <c r="B427" s="16">
        <v>903</v>
      </c>
      <c r="C427" s="20" t="s">
        <v>299</v>
      </c>
      <c r="D427" s="20" t="s">
        <v>150</v>
      </c>
      <c r="E427" s="20" t="s">
        <v>914</v>
      </c>
      <c r="F427" s="20" t="s">
        <v>132</v>
      </c>
      <c r="G427" s="397">
        <f>G428</f>
        <v>1937</v>
      </c>
      <c r="H427" s="397">
        <f>H428</f>
        <v>1937</v>
      </c>
      <c r="I427" s="192"/>
    </row>
    <row r="428" spans="1:9" ht="31.5" x14ac:dyDescent="0.25">
      <c r="A428" s="396" t="s">
        <v>133</v>
      </c>
      <c r="B428" s="16">
        <v>903</v>
      </c>
      <c r="C428" s="20" t="s">
        <v>299</v>
      </c>
      <c r="D428" s="20" t="s">
        <v>150</v>
      </c>
      <c r="E428" s="20" t="s">
        <v>914</v>
      </c>
      <c r="F428" s="20" t="s">
        <v>134</v>
      </c>
      <c r="G428" s="397">
        <f>1937</f>
        <v>1937</v>
      </c>
      <c r="H428" s="397">
        <f t="shared" si="38"/>
        <v>1937</v>
      </c>
      <c r="I428" s="192"/>
    </row>
    <row r="429" spans="1:9" ht="15.75" x14ac:dyDescent="0.25">
      <c r="A429" s="396" t="s">
        <v>135</v>
      </c>
      <c r="B429" s="16">
        <v>903</v>
      </c>
      <c r="C429" s="20" t="s">
        <v>299</v>
      </c>
      <c r="D429" s="20" t="s">
        <v>150</v>
      </c>
      <c r="E429" s="20" t="s">
        <v>914</v>
      </c>
      <c r="F429" s="20" t="s">
        <v>145</v>
      </c>
      <c r="G429" s="397">
        <f>G430</f>
        <v>14</v>
      </c>
      <c r="H429" s="397">
        <f>H430</f>
        <v>14</v>
      </c>
      <c r="I429" s="192"/>
    </row>
    <row r="430" spans="1:9" ht="15.75" x14ac:dyDescent="0.25">
      <c r="A430" s="396" t="s">
        <v>568</v>
      </c>
      <c r="B430" s="16">
        <v>903</v>
      </c>
      <c r="C430" s="20" t="s">
        <v>299</v>
      </c>
      <c r="D430" s="20" t="s">
        <v>150</v>
      </c>
      <c r="E430" s="20" t="s">
        <v>914</v>
      </c>
      <c r="F430" s="20" t="s">
        <v>138</v>
      </c>
      <c r="G430" s="397">
        <f>14</f>
        <v>14</v>
      </c>
      <c r="H430" s="397">
        <f t="shared" si="38"/>
        <v>14</v>
      </c>
      <c r="I430" s="192"/>
    </row>
    <row r="431" spans="1:9" ht="47.25" x14ac:dyDescent="0.25">
      <c r="A431" s="396" t="s">
        <v>838</v>
      </c>
      <c r="B431" s="16">
        <v>903</v>
      </c>
      <c r="C431" s="20" t="s">
        <v>299</v>
      </c>
      <c r="D431" s="20" t="s">
        <v>150</v>
      </c>
      <c r="E431" s="20" t="s">
        <v>915</v>
      </c>
      <c r="F431" s="20"/>
      <c r="G431" s="397">
        <f>G432</f>
        <v>210</v>
      </c>
      <c r="H431" s="397">
        <f>H432</f>
        <v>210</v>
      </c>
      <c r="I431" s="192"/>
    </row>
    <row r="432" spans="1:9" ht="78.75" x14ac:dyDescent="0.25">
      <c r="A432" s="396" t="s">
        <v>127</v>
      </c>
      <c r="B432" s="16">
        <v>903</v>
      </c>
      <c r="C432" s="20" t="s">
        <v>299</v>
      </c>
      <c r="D432" s="20" t="s">
        <v>150</v>
      </c>
      <c r="E432" s="20" t="s">
        <v>915</v>
      </c>
      <c r="F432" s="20" t="s">
        <v>128</v>
      </c>
      <c r="G432" s="397">
        <f>G433</f>
        <v>210</v>
      </c>
      <c r="H432" s="397">
        <f>H433</f>
        <v>210</v>
      </c>
      <c r="I432" s="192"/>
    </row>
    <row r="433" spans="1:9" ht="25.5" customHeight="1" x14ac:dyDescent="0.25">
      <c r="A433" s="396" t="s">
        <v>342</v>
      </c>
      <c r="B433" s="16">
        <v>903</v>
      </c>
      <c r="C433" s="20" t="s">
        <v>299</v>
      </c>
      <c r="D433" s="20" t="s">
        <v>150</v>
      </c>
      <c r="E433" s="20" t="s">
        <v>915</v>
      </c>
      <c r="F433" s="20" t="s">
        <v>209</v>
      </c>
      <c r="G433" s="397">
        <f>210</f>
        <v>210</v>
      </c>
      <c r="H433" s="397">
        <f t="shared" si="38"/>
        <v>210</v>
      </c>
      <c r="I433" s="192"/>
    </row>
    <row r="434" spans="1:9" ht="47.25" x14ac:dyDescent="0.25">
      <c r="A434" s="394" t="s">
        <v>1365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393">
        <f>G435</f>
        <v>260</v>
      </c>
      <c r="H434" s="393">
        <f>H435</f>
        <v>285</v>
      </c>
      <c r="I434" s="192"/>
    </row>
    <row r="435" spans="1:9" ht="33.950000000000003" customHeight="1" x14ac:dyDescent="0.25">
      <c r="A435" s="394" t="s">
        <v>1352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393">
        <f t="shared" ref="G435:H436" si="39">G436</f>
        <v>260</v>
      </c>
      <c r="H435" s="393">
        <f t="shared" si="39"/>
        <v>285</v>
      </c>
      <c r="I435" s="192"/>
    </row>
    <row r="436" spans="1:9" ht="31.5" x14ac:dyDescent="0.25">
      <c r="A436" s="394" t="s">
        <v>996</v>
      </c>
      <c r="B436" s="19">
        <v>903</v>
      </c>
      <c r="C436" s="24" t="s">
        <v>299</v>
      </c>
      <c r="D436" s="24" t="s">
        <v>150</v>
      </c>
      <c r="E436" s="24" t="s">
        <v>1219</v>
      </c>
      <c r="F436" s="24"/>
      <c r="G436" s="393">
        <f t="shared" si="39"/>
        <v>260</v>
      </c>
      <c r="H436" s="393">
        <f t="shared" si="39"/>
        <v>285</v>
      </c>
      <c r="I436" s="192"/>
    </row>
    <row r="437" spans="1:9" ht="31.5" x14ac:dyDescent="0.25">
      <c r="A437" s="396" t="s">
        <v>995</v>
      </c>
      <c r="B437" s="16">
        <v>903</v>
      </c>
      <c r="C437" s="20" t="s">
        <v>299</v>
      </c>
      <c r="D437" s="20" t="s">
        <v>150</v>
      </c>
      <c r="E437" s="20" t="s">
        <v>1220</v>
      </c>
      <c r="F437" s="20"/>
      <c r="G437" s="397">
        <f>G438</f>
        <v>260</v>
      </c>
      <c r="H437" s="397">
        <f>H438</f>
        <v>285</v>
      </c>
      <c r="I437" s="192"/>
    </row>
    <row r="438" spans="1:9" ht="31.5" x14ac:dyDescent="0.25">
      <c r="A438" s="396" t="s">
        <v>131</v>
      </c>
      <c r="B438" s="16">
        <v>903</v>
      </c>
      <c r="C438" s="20" t="s">
        <v>299</v>
      </c>
      <c r="D438" s="20" t="s">
        <v>150</v>
      </c>
      <c r="E438" s="20" t="s">
        <v>1220</v>
      </c>
      <c r="F438" s="20" t="s">
        <v>132</v>
      </c>
      <c r="G438" s="397">
        <f>G439</f>
        <v>260</v>
      </c>
      <c r="H438" s="397">
        <f>H439</f>
        <v>285</v>
      </c>
      <c r="I438" s="192"/>
    </row>
    <row r="439" spans="1:9" ht="37.35" customHeight="1" x14ac:dyDescent="0.25">
      <c r="A439" s="396" t="s">
        <v>133</v>
      </c>
      <c r="B439" s="16">
        <v>903</v>
      </c>
      <c r="C439" s="20" t="s">
        <v>299</v>
      </c>
      <c r="D439" s="20" t="s">
        <v>150</v>
      </c>
      <c r="E439" s="20" t="s">
        <v>1220</v>
      </c>
      <c r="F439" s="20" t="s">
        <v>134</v>
      </c>
      <c r="G439" s="397">
        <f>260</f>
        <v>260</v>
      </c>
      <c r="H439" s="397">
        <v>285</v>
      </c>
      <c r="I439" s="192"/>
    </row>
    <row r="440" spans="1:9" s="191" customFormat="1" ht="51" customHeight="1" x14ac:dyDescent="0.25">
      <c r="A440" s="34" t="s">
        <v>1432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393">
        <f>G442</f>
        <v>0</v>
      </c>
      <c r="H440" s="393">
        <f>H441</f>
        <v>4</v>
      </c>
      <c r="I440" s="192"/>
    </row>
    <row r="441" spans="1:9" s="191" customFormat="1" ht="59.1" customHeight="1" x14ac:dyDescent="0.25">
      <c r="A441" s="34" t="s">
        <v>1024</v>
      </c>
      <c r="B441" s="19">
        <v>903</v>
      </c>
      <c r="C441" s="24" t="s">
        <v>299</v>
      </c>
      <c r="D441" s="24" t="s">
        <v>150</v>
      </c>
      <c r="E441" s="24" t="s">
        <v>933</v>
      </c>
      <c r="F441" s="24"/>
      <c r="G441" s="393">
        <f>G444</f>
        <v>0</v>
      </c>
      <c r="H441" s="393">
        <f>H442</f>
        <v>4</v>
      </c>
      <c r="I441" s="192"/>
    </row>
    <row r="442" spans="1:9" s="191" customFormat="1" ht="53.1" customHeight="1" x14ac:dyDescent="0.25">
      <c r="A442" s="31" t="s">
        <v>1081</v>
      </c>
      <c r="B442" s="16">
        <v>903</v>
      </c>
      <c r="C442" s="20" t="s">
        <v>299</v>
      </c>
      <c r="D442" s="20" t="s">
        <v>150</v>
      </c>
      <c r="E442" s="20" t="s">
        <v>1025</v>
      </c>
      <c r="F442" s="20"/>
      <c r="G442" s="397">
        <f>G443</f>
        <v>0</v>
      </c>
      <c r="H442" s="397">
        <f>H443</f>
        <v>4</v>
      </c>
      <c r="I442" s="192"/>
    </row>
    <row r="443" spans="1:9" s="191" customFormat="1" ht="37.35" customHeight="1" x14ac:dyDescent="0.25">
      <c r="A443" s="396" t="s">
        <v>131</v>
      </c>
      <c r="B443" s="16">
        <v>903</v>
      </c>
      <c r="C443" s="20" t="s">
        <v>299</v>
      </c>
      <c r="D443" s="20" t="s">
        <v>150</v>
      </c>
      <c r="E443" s="20" t="s">
        <v>1025</v>
      </c>
      <c r="F443" s="20" t="s">
        <v>132</v>
      </c>
      <c r="G443" s="397">
        <f>G444</f>
        <v>0</v>
      </c>
      <c r="H443" s="397">
        <f>H444</f>
        <v>4</v>
      </c>
      <c r="I443" s="192"/>
    </row>
    <row r="444" spans="1:9" s="191" customFormat="1" ht="37.35" customHeight="1" x14ac:dyDescent="0.25">
      <c r="A444" s="396" t="s">
        <v>133</v>
      </c>
      <c r="B444" s="16">
        <v>903</v>
      </c>
      <c r="C444" s="20" t="s">
        <v>299</v>
      </c>
      <c r="D444" s="20" t="s">
        <v>150</v>
      </c>
      <c r="E444" s="20" t="s">
        <v>1025</v>
      </c>
      <c r="F444" s="20" t="s">
        <v>134</v>
      </c>
      <c r="G444" s="397">
        <v>0</v>
      </c>
      <c r="H444" s="397">
        <v>4</v>
      </c>
      <c r="I444" s="192"/>
    </row>
    <row r="445" spans="1:9" ht="15.75" x14ac:dyDescent="0.25">
      <c r="A445" s="394" t="s">
        <v>243</v>
      </c>
      <c r="B445" s="19">
        <v>903</v>
      </c>
      <c r="C445" s="24" t="s">
        <v>244</v>
      </c>
      <c r="D445" s="24"/>
      <c r="E445" s="24"/>
      <c r="F445" s="24"/>
      <c r="G445" s="393">
        <f>G446</f>
        <v>2001.6100000000001</v>
      </c>
      <c r="H445" s="393">
        <f>H446</f>
        <v>2026.1100000000001</v>
      </c>
      <c r="I445" s="192"/>
    </row>
    <row r="446" spans="1:9" ht="15.75" x14ac:dyDescent="0.25">
      <c r="A446" s="394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393">
        <f>G447</f>
        <v>2001.6100000000001</v>
      </c>
      <c r="H446" s="393">
        <f>H447</f>
        <v>2026.1100000000001</v>
      </c>
      <c r="I446" s="192"/>
    </row>
    <row r="447" spans="1:9" ht="47.25" x14ac:dyDescent="0.25">
      <c r="A447" s="394" t="s">
        <v>1365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393">
        <f>G448+G453</f>
        <v>2001.6100000000001</v>
      </c>
      <c r="H447" s="393">
        <f>H448+H453</f>
        <v>2026.1100000000001</v>
      </c>
      <c r="I447" s="192"/>
    </row>
    <row r="448" spans="1:9" ht="31.5" x14ac:dyDescent="0.25">
      <c r="A448" s="394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393">
        <f t="shared" ref="G448:H451" si="40">G449</f>
        <v>294.61</v>
      </c>
      <c r="H448" s="393">
        <f t="shared" si="40"/>
        <v>289.11</v>
      </c>
      <c r="I448" s="192"/>
    </row>
    <row r="449" spans="1:13" ht="31.5" x14ac:dyDescent="0.25">
      <c r="A449" s="394" t="s">
        <v>904</v>
      </c>
      <c r="B449" s="19">
        <v>903</v>
      </c>
      <c r="C449" s="24" t="s">
        <v>244</v>
      </c>
      <c r="D449" s="24" t="s">
        <v>215</v>
      </c>
      <c r="E449" s="24" t="s">
        <v>903</v>
      </c>
      <c r="F449" s="24"/>
      <c r="G449" s="393">
        <f t="shared" si="40"/>
        <v>294.61</v>
      </c>
      <c r="H449" s="393">
        <f t="shared" si="40"/>
        <v>289.11</v>
      </c>
      <c r="I449" s="192"/>
    </row>
    <row r="450" spans="1:13" ht="31.5" x14ac:dyDescent="0.25">
      <c r="A450" s="396" t="s">
        <v>823</v>
      </c>
      <c r="B450" s="16">
        <v>903</v>
      </c>
      <c r="C450" s="20" t="s">
        <v>244</v>
      </c>
      <c r="D450" s="20" t="s">
        <v>215</v>
      </c>
      <c r="E450" s="20" t="s">
        <v>905</v>
      </c>
      <c r="F450" s="20"/>
      <c r="G450" s="397">
        <f t="shared" si="40"/>
        <v>294.61</v>
      </c>
      <c r="H450" s="397">
        <f t="shared" si="40"/>
        <v>289.11</v>
      </c>
      <c r="I450" s="192"/>
    </row>
    <row r="451" spans="1:13" ht="21.2" customHeight="1" x14ac:dyDescent="0.25">
      <c r="A451" s="396" t="s">
        <v>248</v>
      </c>
      <c r="B451" s="16">
        <v>903</v>
      </c>
      <c r="C451" s="20" t="s">
        <v>244</v>
      </c>
      <c r="D451" s="20" t="s">
        <v>215</v>
      </c>
      <c r="E451" s="20" t="s">
        <v>905</v>
      </c>
      <c r="F451" s="20" t="s">
        <v>249</v>
      </c>
      <c r="G451" s="397">
        <f>G452</f>
        <v>294.61</v>
      </c>
      <c r="H451" s="397">
        <f t="shared" si="40"/>
        <v>289.11</v>
      </c>
      <c r="I451" s="192"/>
    </row>
    <row r="452" spans="1:13" ht="31.5" x14ac:dyDescent="0.25">
      <c r="A452" s="396" t="s">
        <v>250</v>
      </c>
      <c r="B452" s="16">
        <v>903</v>
      </c>
      <c r="C452" s="20" t="s">
        <v>244</v>
      </c>
      <c r="D452" s="20" t="s">
        <v>215</v>
      </c>
      <c r="E452" s="20" t="s">
        <v>905</v>
      </c>
      <c r="F452" s="20" t="s">
        <v>251</v>
      </c>
      <c r="G452" s="397">
        <f>267.8+26.81</f>
        <v>294.61</v>
      </c>
      <c r="H452" s="397">
        <f>262.8+26.31</f>
        <v>289.11</v>
      </c>
      <c r="I452" s="192"/>
      <c r="L452">
        <v>26.81</v>
      </c>
      <c r="M452">
        <v>26.31</v>
      </c>
    </row>
    <row r="453" spans="1:13" ht="31.5" x14ac:dyDescent="0.25">
      <c r="A453" s="394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393">
        <f>G455+G458+G464</f>
        <v>1707</v>
      </c>
      <c r="H453" s="393">
        <f>H455+H458+H464</f>
        <v>1737</v>
      </c>
      <c r="I453" s="192"/>
    </row>
    <row r="454" spans="1:13" ht="31.5" x14ac:dyDescent="0.25">
      <c r="A454" s="394" t="s">
        <v>1038</v>
      </c>
      <c r="B454" s="19">
        <v>903</v>
      </c>
      <c r="C454" s="19">
        <v>10</v>
      </c>
      <c r="D454" s="24" t="s">
        <v>215</v>
      </c>
      <c r="E454" s="24" t="s">
        <v>912</v>
      </c>
      <c r="F454" s="24"/>
      <c r="G454" s="393">
        <f t="shared" ref="G454:H456" si="41">G455</f>
        <v>630</v>
      </c>
      <c r="H454" s="393">
        <f t="shared" si="41"/>
        <v>630</v>
      </c>
      <c r="I454" s="192"/>
    </row>
    <row r="455" spans="1:13" ht="47.25" x14ac:dyDescent="0.25">
      <c r="A455" s="98" t="s">
        <v>1039</v>
      </c>
      <c r="B455" s="16">
        <v>903</v>
      </c>
      <c r="C455" s="20" t="s">
        <v>244</v>
      </c>
      <c r="D455" s="20" t="s">
        <v>215</v>
      </c>
      <c r="E455" s="20" t="s">
        <v>1222</v>
      </c>
      <c r="F455" s="20"/>
      <c r="G455" s="397">
        <f t="shared" si="41"/>
        <v>630</v>
      </c>
      <c r="H455" s="397">
        <f t="shared" si="41"/>
        <v>630</v>
      </c>
      <c r="I455" s="192"/>
    </row>
    <row r="456" spans="1:13" ht="22.7" customHeight="1" x14ac:dyDescent="0.25">
      <c r="A456" s="396" t="s">
        <v>248</v>
      </c>
      <c r="B456" s="16">
        <v>903</v>
      </c>
      <c r="C456" s="20" t="s">
        <v>244</v>
      </c>
      <c r="D456" s="20" t="s">
        <v>215</v>
      </c>
      <c r="E456" s="20" t="s">
        <v>1222</v>
      </c>
      <c r="F456" s="20" t="s">
        <v>249</v>
      </c>
      <c r="G456" s="397">
        <f t="shared" si="41"/>
        <v>630</v>
      </c>
      <c r="H456" s="397">
        <f t="shared" si="41"/>
        <v>630</v>
      </c>
      <c r="I456" s="192"/>
    </row>
    <row r="457" spans="1:13" ht="31.5" x14ac:dyDescent="0.25">
      <c r="A457" s="396" t="s">
        <v>348</v>
      </c>
      <c r="B457" s="16">
        <v>903</v>
      </c>
      <c r="C457" s="20" t="s">
        <v>244</v>
      </c>
      <c r="D457" s="20" t="s">
        <v>215</v>
      </c>
      <c r="E457" s="20" t="s">
        <v>1222</v>
      </c>
      <c r="F457" s="20" t="s">
        <v>349</v>
      </c>
      <c r="G457" s="397">
        <v>630</v>
      </c>
      <c r="H457" s="397">
        <f t="shared" si="38"/>
        <v>630</v>
      </c>
      <c r="I457" s="192"/>
    </row>
    <row r="458" spans="1:13" ht="31.5" x14ac:dyDescent="0.25">
      <c r="A458" s="394" t="s">
        <v>1226</v>
      </c>
      <c r="B458" s="19">
        <v>903</v>
      </c>
      <c r="C458" s="19">
        <v>10</v>
      </c>
      <c r="D458" s="24" t="s">
        <v>215</v>
      </c>
      <c r="E458" s="24" t="s">
        <v>1224</v>
      </c>
      <c r="F458" s="24"/>
      <c r="G458" s="393">
        <f>G459+G462</f>
        <v>657</v>
      </c>
      <c r="H458" s="393">
        <f>H459+H462</f>
        <v>657</v>
      </c>
      <c r="I458" s="192"/>
    </row>
    <row r="459" spans="1:13" ht="31.5" x14ac:dyDescent="0.25">
      <c r="A459" s="396" t="s">
        <v>1223</v>
      </c>
      <c r="B459" s="16">
        <v>903</v>
      </c>
      <c r="C459" s="20" t="s">
        <v>244</v>
      </c>
      <c r="D459" s="20" t="s">
        <v>215</v>
      </c>
      <c r="E459" s="20" t="s">
        <v>1225</v>
      </c>
      <c r="F459" s="20"/>
      <c r="G459" s="397">
        <f>G460</f>
        <v>400</v>
      </c>
      <c r="H459" s="397">
        <f>H460</f>
        <v>400</v>
      </c>
      <c r="I459" s="192"/>
    </row>
    <row r="460" spans="1:13" ht="31.5" x14ac:dyDescent="0.25">
      <c r="A460" s="396" t="s">
        <v>131</v>
      </c>
      <c r="B460" s="16">
        <v>903</v>
      </c>
      <c r="C460" s="20" t="s">
        <v>244</v>
      </c>
      <c r="D460" s="20" t="s">
        <v>215</v>
      </c>
      <c r="E460" s="20" t="s">
        <v>1225</v>
      </c>
      <c r="F460" s="20" t="s">
        <v>132</v>
      </c>
      <c r="G460" s="397">
        <f>G461</f>
        <v>400</v>
      </c>
      <c r="H460" s="397">
        <f>H461</f>
        <v>400</v>
      </c>
      <c r="I460" s="192"/>
    </row>
    <row r="461" spans="1:13" ht="31.5" x14ac:dyDescent="0.25">
      <c r="A461" s="396" t="s">
        <v>133</v>
      </c>
      <c r="B461" s="16">
        <v>903</v>
      </c>
      <c r="C461" s="20" t="s">
        <v>244</v>
      </c>
      <c r="D461" s="20" t="s">
        <v>215</v>
      </c>
      <c r="E461" s="20" t="s">
        <v>1225</v>
      </c>
      <c r="F461" s="20" t="s">
        <v>134</v>
      </c>
      <c r="G461" s="397">
        <v>400</v>
      </c>
      <c r="H461" s="397">
        <f t="shared" si="38"/>
        <v>400</v>
      </c>
      <c r="I461" s="192"/>
    </row>
    <row r="462" spans="1:13" s="191" customFormat="1" ht="31.5" x14ac:dyDescent="0.25">
      <c r="A462" s="396" t="s">
        <v>248</v>
      </c>
      <c r="B462" s="16">
        <v>903</v>
      </c>
      <c r="C462" s="20" t="s">
        <v>244</v>
      </c>
      <c r="D462" s="20" t="s">
        <v>215</v>
      </c>
      <c r="E462" s="20" t="s">
        <v>1225</v>
      </c>
      <c r="F462" s="20" t="s">
        <v>249</v>
      </c>
      <c r="G462" s="397">
        <f>G463</f>
        <v>257</v>
      </c>
      <c r="H462" s="397">
        <f>H463</f>
        <v>257</v>
      </c>
      <c r="I462" s="192"/>
    </row>
    <row r="463" spans="1:13" s="191" customFormat="1" ht="31.5" x14ac:dyDescent="0.25">
      <c r="A463" s="396" t="s">
        <v>348</v>
      </c>
      <c r="B463" s="16">
        <v>903</v>
      </c>
      <c r="C463" s="20" t="s">
        <v>244</v>
      </c>
      <c r="D463" s="20" t="s">
        <v>215</v>
      </c>
      <c r="E463" s="20" t="s">
        <v>1225</v>
      </c>
      <c r="F463" s="20" t="s">
        <v>349</v>
      </c>
      <c r="G463" s="397">
        <v>257</v>
      </c>
      <c r="H463" s="397">
        <f t="shared" si="38"/>
        <v>257</v>
      </c>
      <c r="I463" s="192"/>
    </row>
    <row r="464" spans="1:13" ht="31.5" x14ac:dyDescent="0.25">
      <c r="A464" s="394" t="s">
        <v>996</v>
      </c>
      <c r="B464" s="19">
        <v>903</v>
      </c>
      <c r="C464" s="19">
        <v>10</v>
      </c>
      <c r="D464" s="24" t="s">
        <v>215</v>
      </c>
      <c r="E464" s="24" t="s">
        <v>1219</v>
      </c>
      <c r="F464" s="24"/>
      <c r="G464" s="393">
        <f>G465</f>
        <v>420</v>
      </c>
      <c r="H464" s="393">
        <f t="shared" ref="H464:H466" si="42">H465</f>
        <v>450</v>
      </c>
      <c r="I464" s="192"/>
    </row>
    <row r="465" spans="1:9" ht="15.75" x14ac:dyDescent="0.25">
      <c r="A465" s="396" t="s">
        <v>1036</v>
      </c>
      <c r="B465" s="16">
        <v>903</v>
      </c>
      <c r="C465" s="20" t="s">
        <v>244</v>
      </c>
      <c r="D465" s="20" t="s">
        <v>215</v>
      </c>
      <c r="E465" s="20" t="s">
        <v>1221</v>
      </c>
      <c r="F465" s="20"/>
      <c r="G465" s="397">
        <f>G466</f>
        <v>420</v>
      </c>
      <c r="H465" s="397">
        <f t="shared" si="42"/>
        <v>450</v>
      </c>
      <c r="I465" s="192"/>
    </row>
    <row r="466" spans="1:9" ht="17.45" customHeight="1" x14ac:dyDescent="0.25">
      <c r="A466" s="396" t="s">
        <v>248</v>
      </c>
      <c r="B466" s="16">
        <v>903</v>
      </c>
      <c r="C466" s="20" t="s">
        <v>244</v>
      </c>
      <c r="D466" s="20" t="s">
        <v>215</v>
      </c>
      <c r="E466" s="20" t="s">
        <v>1221</v>
      </c>
      <c r="F466" s="20" t="s">
        <v>249</v>
      </c>
      <c r="G466" s="397">
        <f>G467</f>
        <v>420</v>
      </c>
      <c r="H466" s="397">
        <f t="shared" si="42"/>
        <v>450</v>
      </c>
      <c r="I466" s="192"/>
    </row>
    <row r="467" spans="1:9" ht="31.5" x14ac:dyDescent="0.25">
      <c r="A467" s="396" t="s">
        <v>348</v>
      </c>
      <c r="B467" s="16">
        <v>903</v>
      </c>
      <c r="C467" s="20" t="s">
        <v>244</v>
      </c>
      <c r="D467" s="20" t="s">
        <v>215</v>
      </c>
      <c r="E467" s="20" t="s">
        <v>1221</v>
      </c>
      <c r="F467" s="20" t="s">
        <v>349</v>
      </c>
      <c r="G467" s="397">
        <v>420</v>
      </c>
      <c r="H467" s="397">
        <v>450</v>
      </c>
      <c r="I467" s="192"/>
    </row>
    <row r="468" spans="1:9" s="191" customFormat="1" ht="15.75" x14ac:dyDescent="0.25">
      <c r="A468" s="394" t="s">
        <v>582</v>
      </c>
      <c r="B468" s="19">
        <v>903</v>
      </c>
      <c r="C468" s="24" t="s">
        <v>238</v>
      </c>
      <c r="D468" s="20"/>
      <c r="E468" s="20"/>
      <c r="F468" s="20"/>
      <c r="G468" s="393">
        <f>G469</f>
        <v>5873.2</v>
      </c>
      <c r="H468" s="393">
        <f>H469</f>
        <v>5876.2</v>
      </c>
      <c r="I468" s="192"/>
    </row>
    <row r="469" spans="1:9" s="191" customFormat="1" ht="15.75" x14ac:dyDescent="0.25">
      <c r="A469" s="394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393">
        <f>G470+G483</f>
        <v>5873.2</v>
      </c>
      <c r="H469" s="393">
        <f>H470+H483</f>
        <v>5876.2</v>
      </c>
      <c r="I469" s="192"/>
    </row>
    <row r="470" spans="1:9" s="191" customFormat="1" ht="31.5" x14ac:dyDescent="0.25">
      <c r="A470" s="394" t="s">
        <v>1350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393">
        <f>G471+G479</f>
        <v>5798.3</v>
      </c>
      <c r="H470" s="393">
        <f>H471+H479</f>
        <v>5798.3</v>
      </c>
      <c r="I470" s="192"/>
    </row>
    <row r="471" spans="1:9" s="191" customFormat="1" ht="31.5" x14ac:dyDescent="0.25">
      <c r="A471" s="394" t="s">
        <v>1298</v>
      </c>
      <c r="B471" s="19">
        <v>903</v>
      </c>
      <c r="C471" s="24" t="s">
        <v>238</v>
      </c>
      <c r="D471" s="24" t="s">
        <v>213</v>
      </c>
      <c r="E471" s="24" t="s">
        <v>1201</v>
      </c>
      <c r="F471" s="24"/>
      <c r="G471" s="393">
        <f>G472</f>
        <v>5522.3</v>
      </c>
      <c r="H471" s="393">
        <f>H472</f>
        <v>5522.3</v>
      </c>
      <c r="I471" s="192"/>
    </row>
    <row r="472" spans="1:9" s="191" customFormat="1" ht="15.75" x14ac:dyDescent="0.25">
      <c r="A472" s="396" t="s">
        <v>801</v>
      </c>
      <c r="B472" s="16">
        <v>903</v>
      </c>
      <c r="C472" s="20" t="s">
        <v>238</v>
      </c>
      <c r="D472" s="20" t="s">
        <v>213</v>
      </c>
      <c r="E472" s="20" t="s">
        <v>1202</v>
      </c>
      <c r="F472" s="20"/>
      <c r="G472" s="397">
        <f>G473+G475+G477</f>
        <v>5522.3</v>
      </c>
      <c r="H472" s="397">
        <f>H473+H475+H477</f>
        <v>5522.3</v>
      </c>
      <c r="I472" s="192"/>
    </row>
    <row r="473" spans="1:9" s="191" customFormat="1" ht="78.75" x14ac:dyDescent="0.25">
      <c r="A473" s="396" t="s">
        <v>127</v>
      </c>
      <c r="B473" s="16">
        <v>903</v>
      </c>
      <c r="C473" s="20" t="s">
        <v>238</v>
      </c>
      <c r="D473" s="20" t="s">
        <v>213</v>
      </c>
      <c r="E473" s="20" t="s">
        <v>1202</v>
      </c>
      <c r="F473" s="20" t="s">
        <v>128</v>
      </c>
      <c r="G473" s="397">
        <f>G474</f>
        <v>4897.2</v>
      </c>
      <c r="H473" s="397">
        <f>H474</f>
        <v>4897.2</v>
      </c>
      <c r="I473" s="192"/>
    </row>
    <row r="474" spans="1:9" s="191" customFormat="1" ht="15.75" x14ac:dyDescent="0.25">
      <c r="A474" s="396" t="s">
        <v>208</v>
      </c>
      <c r="B474" s="16">
        <v>903</v>
      </c>
      <c r="C474" s="20" t="s">
        <v>238</v>
      </c>
      <c r="D474" s="20" t="s">
        <v>213</v>
      </c>
      <c r="E474" s="20" t="s">
        <v>1202</v>
      </c>
      <c r="F474" s="20" t="s">
        <v>209</v>
      </c>
      <c r="G474" s="27">
        <v>4897.2</v>
      </c>
      <c r="H474" s="27">
        <f>G474</f>
        <v>4897.2</v>
      </c>
      <c r="I474" s="192"/>
    </row>
    <row r="475" spans="1:9" s="191" customFormat="1" ht="31.5" x14ac:dyDescent="0.25">
      <c r="A475" s="396" t="s">
        <v>131</v>
      </c>
      <c r="B475" s="16">
        <v>903</v>
      </c>
      <c r="C475" s="20" t="s">
        <v>238</v>
      </c>
      <c r="D475" s="20" t="s">
        <v>213</v>
      </c>
      <c r="E475" s="20" t="s">
        <v>1202</v>
      </c>
      <c r="F475" s="20" t="s">
        <v>132</v>
      </c>
      <c r="G475" s="397">
        <f>G476</f>
        <v>595.1</v>
      </c>
      <c r="H475" s="397">
        <f>H476</f>
        <v>595.1</v>
      </c>
      <c r="I475" s="192"/>
    </row>
    <row r="476" spans="1:9" s="191" customFormat="1" ht="33.4" customHeight="1" x14ac:dyDescent="0.25">
      <c r="A476" s="396" t="s">
        <v>133</v>
      </c>
      <c r="B476" s="16">
        <v>903</v>
      </c>
      <c r="C476" s="20" t="s">
        <v>238</v>
      </c>
      <c r="D476" s="20" t="s">
        <v>213</v>
      </c>
      <c r="E476" s="20" t="s">
        <v>1202</v>
      </c>
      <c r="F476" s="20" t="s">
        <v>134</v>
      </c>
      <c r="G476" s="27">
        <v>595.1</v>
      </c>
      <c r="H476" s="27">
        <f>G476</f>
        <v>595.1</v>
      </c>
      <c r="I476" s="192"/>
    </row>
    <row r="477" spans="1:9" s="191" customFormat="1" ht="15.75" x14ac:dyDescent="0.25">
      <c r="A477" s="396" t="s">
        <v>135</v>
      </c>
      <c r="B477" s="16">
        <v>903</v>
      </c>
      <c r="C477" s="20" t="s">
        <v>238</v>
      </c>
      <c r="D477" s="20" t="s">
        <v>213</v>
      </c>
      <c r="E477" s="20" t="s">
        <v>1202</v>
      </c>
      <c r="F477" s="20" t="s">
        <v>145</v>
      </c>
      <c r="G477" s="397">
        <f>G478</f>
        <v>30</v>
      </c>
      <c r="H477" s="397">
        <f>H478</f>
        <v>30</v>
      </c>
      <c r="I477" s="192"/>
    </row>
    <row r="478" spans="1:9" s="191" customFormat="1" ht="15.75" x14ac:dyDescent="0.25">
      <c r="A478" s="396" t="s">
        <v>568</v>
      </c>
      <c r="B478" s="16">
        <v>903</v>
      </c>
      <c r="C478" s="20" t="s">
        <v>238</v>
      </c>
      <c r="D478" s="20" t="s">
        <v>213</v>
      </c>
      <c r="E478" s="20" t="s">
        <v>1202</v>
      </c>
      <c r="F478" s="20" t="s">
        <v>138</v>
      </c>
      <c r="G478" s="397">
        <v>30</v>
      </c>
      <c r="H478" s="397">
        <f>G478</f>
        <v>30</v>
      </c>
      <c r="I478" s="192"/>
    </row>
    <row r="479" spans="1:9" s="191" customFormat="1" ht="31.5" x14ac:dyDescent="0.25">
      <c r="A479" s="394" t="s">
        <v>946</v>
      </c>
      <c r="B479" s="19">
        <v>903</v>
      </c>
      <c r="C479" s="24" t="s">
        <v>238</v>
      </c>
      <c r="D479" s="24" t="s">
        <v>213</v>
      </c>
      <c r="E479" s="24" t="s">
        <v>1206</v>
      </c>
      <c r="F479" s="24"/>
      <c r="G479" s="393">
        <f t="shared" ref="G479:H481" si="43">G480</f>
        <v>276</v>
      </c>
      <c r="H479" s="393">
        <f t="shared" si="43"/>
        <v>276</v>
      </c>
      <c r="I479" s="192"/>
    </row>
    <row r="480" spans="1:9" s="191" customFormat="1" ht="47.25" x14ac:dyDescent="0.25">
      <c r="A480" s="396" t="s">
        <v>838</v>
      </c>
      <c r="B480" s="16">
        <v>903</v>
      </c>
      <c r="C480" s="20" t="s">
        <v>238</v>
      </c>
      <c r="D480" s="20" t="s">
        <v>213</v>
      </c>
      <c r="E480" s="20" t="s">
        <v>1207</v>
      </c>
      <c r="F480" s="20"/>
      <c r="G480" s="397">
        <f t="shared" si="43"/>
        <v>276</v>
      </c>
      <c r="H480" s="397">
        <f t="shared" si="43"/>
        <v>276</v>
      </c>
      <c r="I480" s="192"/>
    </row>
    <row r="481" spans="1:9" s="191" customFormat="1" ht="78.75" x14ac:dyDescent="0.25">
      <c r="A481" s="396" t="s">
        <v>127</v>
      </c>
      <c r="B481" s="16">
        <v>903</v>
      </c>
      <c r="C481" s="20" t="s">
        <v>238</v>
      </c>
      <c r="D481" s="20" t="s">
        <v>213</v>
      </c>
      <c r="E481" s="20" t="s">
        <v>1207</v>
      </c>
      <c r="F481" s="20" t="s">
        <v>128</v>
      </c>
      <c r="G481" s="397">
        <f t="shared" si="43"/>
        <v>276</v>
      </c>
      <c r="H481" s="397">
        <f t="shared" si="43"/>
        <v>276</v>
      </c>
      <c r="I481" s="192"/>
    </row>
    <row r="482" spans="1:9" s="191" customFormat="1" ht="15.75" x14ac:dyDescent="0.25">
      <c r="A482" s="396" t="s">
        <v>208</v>
      </c>
      <c r="B482" s="16">
        <v>903</v>
      </c>
      <c r="C482" s="20" t="s">
        <v>238</v>
      </c>
      <c r="D482" s="20" t="s">
        <v>213</v>
      </c>
      <c r="E482" s="20" t="s">
        <v>1207</v>
      </c>
      <c r="F482" s="20" t="s">
        <v>209</v>
      </c>
      <c r="G482" s="397">
        <v>276</v>
      </c>
      <c r="H482" s="397">
        <f>G482</f>
        <v>276</v>
      </c>
      <c r="I482" s="192"/>
    </row>
    <row r="483" spans="1:9" s="191" customFormat="1" ht="47.25" x14ac:dyDescent="0.25">
      <c r="A483" s="400" t="s">
        <v>1351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06"/>
      <c r="G483" s="393">
        <f>G485</f>
        <v>74.900000000000006</v>
      </c>
      <c r="H483" s="393">
        <f>H485</f>
        <v>77.900000000000006</v>
      </c>
      <c r="I483" s="192"/>
    </row>
    <row r="484" spans="1:9" s="191" customFormat="1" ht="47.25" x14ac:dyDescent="0.25">
      <c r="A484" s="400" t="s">
        <v>889</v>
      </c>
      <c r="B484" s="19">
        <v>903</v>
      </c>
      <c r="C484" s="24" t="s">
        <v>238</v>
      </c>
      <c r="D484" s="24" t="s">
        <v>213</v>
      </c>
      <c r="E484" s="24" t="s">
        <v>887</v>
      </c>
      <c r="F484" s="206"/>
      <c r="G484" s="393">
        <f t="shared" ref="G484:H486" si="44">G485</f>
        <v>74.900000000000006</v>
      </c>
      <c r="H484" s="393">
        <f t="shared" si="44"/>
        <v>77.900000000000006</v>
      </c>
      <c r="I484" s="192"/>
    </row>
    <row r="485" spans="1:9" s="191" customFormat="1" ht="29.25" customHeight="1" x14ac:dyDescent="0.25">
      <c r="A485" s="98" t="s">
        <v>1003</v>
      </c>
      <c r="B485" s="16">
        <v>903</v>
      </c>
      <c r="C485" s="20" t="s">
        <v>238</v>
      </c>
      <c r="D485" s="20" t="s">
        <v>213</v>
      </c>
      <c r="E485" s="20" t="s">
        <v>888</v>
      </c>
      <c r="F485" s="32"/>
      <c r="G485" s="397">
        <f t="shared" si="44"/>
        <v>74.900000000000006</v>
      </c>
      <c r="H485" s="397">
        <f t="shared" si="44"/>
        <v>77.900000000000006</v>
      </c>
      <c r="I485" s="192"/>
    </row>
    <row r="486" spans="1:9" s="191" customFormat="1" ht="31.5" x14ac:dyDescent="0.25">
      <c r="A486" s="396" t="s">
        <v>131</v>
      </c>
      <c r="B486" s="16">
        <v>903</v>
      </c>
      <c r="C486" s="20" t="s">
        <v>238</v>
      </c>
      <c r="D486" s="20" t="s">
        <v>213</v>
      </c>
      <c r="E486" s="20" t="s">
        <v>888</v>
      </c>
      <c r="F486" s="32" t="s">
        <v>132</v>
      </c>
      <c r="G486" s="397">
        <f t="shared" si="44"/>
        <v>74.900000000000006</v>
      </c>
      <c r="H486" s="397">
        <f t="shared" si="44"/>
        <v>77.900000000000006</v>
      </c>
      <c r="I486" s="192"/>
    </row>
    <row r="487" spans="1:9" s="191" customFormat="1" ht="30.6" customHeight="1" x14ac:dyDescent="0.25">
      <c r="A487" s="396" t="s">
        <v>133</v>
      </c>
      <c r="B487" s="16">
        <v>903</v>
      </c>
      <c r="C487" s="20" t="s">
        <v>238</v>
      </c>
      <c r="D487" s="20" t="s">
        <v>213</v>
      </c>
      <c r="E487" s="20" t="s">
        <v>888</v>
      </c>
      <c r="F487" s="32" t="s">
        <v>134</v>
      </c>
      <c r="G487" s="397">
        <v>74.900000000000006</v>
      </c>
      <c r="H487" s="397">
        <v>77.900000000000006</v>
      </c>
      <c r="I487" s="192"/>
    </row>
    <row r="488" spans="1:9" ht="47.25" x14ac:dyDescent="0.25">
      <c r="A488" s="391" t="s">
        <v>387</v>
      </c>
      <c r="B488" s="19">
        <v>905</v>
      </c>
      <c r="C488" s="20"/>
      <c r="D488" s="20"/>
      <c r="E488" s="20"/>
      <c r="F488" s="20"/>
      <c r="G488" s="393">
        <f>G489+G521+G531</f>
        <v>20108.5</v>
      </c>
      <c r="H488" s="393">
        <f>H489+H521+H531</f>
        <v>28442.600000000002</v>
      </c>
      <c r="I488" s="192"/>
    </row>
    <row r="489" spans="1:9" ht="15.75" x14ac:dyDescent="0.25">
      <c r="A489" s="394" t="s">
        <v>117</v>
      </c>
      <c r="B489" s="19">
        <v>905</v>
      </c>
      <c r="C489" s="24" t="s">
        <v>118</v>
      </c>
      <c r="D489" s="20"/>
      <c r="E489" s="20"/>
      <c r="F489" s="20"/>
      <c r="G489" s="393">
        <f>G490+G507</f>
        <v>17369</v>
      </c>
      <c r="H489" s="393">
        <f>H490+H507</f>
        <v>17369</v>
      </c>
      <c r="I489" s="192"/>
    </row>
    <row r="490" spans="1:9" ht="63" x14ac:dyDescent="0.25">
      <c r="A490" s="394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393">
        <f>G491</f>
        <v>12166.9</v>
      </c>
      <c r="H490" s="393">
        <f>H491</f>
        <v>12166.9</v>
      </c>
      <c r="I490" s="192"/>
    </row>
    <row r="491" spans="1:9" ht="31.5" x14ac:dyDescent="0.25">
      <c r="A491" s="394" t="s">
        <v>916</v>
      </c>
      <c r="B491" s="19">
        <v>905</v>
      </c>
      <c r="C491" s="24" t="s">
        <v>118</v>
      </c>
      <c r="D491" s="24" t="s">
        <v>150</v>
      </c>
      <c r="E491" s="24" t="s">
        <v>857</v>
      </c>
      <c r="F491" s="24"/>
      <c r="G491" s="393">
        <f>G492+G503</f>
        <v>12166.9</v>
      </c>
      <c r="H491" s="393">
        <f>H492+H503</f>
        <v>12166.9</v>
      </c>
      <c r="I491" s="192"/>
    </row>
    <row r="492" spans="1:9" ht="15.75" x14ac:dyDescent="0.25">
      <c r="A492" s="394" t="s">
        <v>917</v>
      </c>
      <c r="B492" s="19">
        <v>905</v>
      </c>
      <c r="C492" s="24" t="s">
        <v>118</v>
      </c>
      <c r="D492" s="24" t="s">
        <v>150</v>
      </c>
      <c r="E492" s="24" t="s">
        <v>858</v>
      </c>
      <c r="F492" s="24"/>
      <c r="G492" s="393">
        <f>G493+G500</f>
        <v>12144.6</v>
      </c>
      <c r="H492" s="393">
        <f>H493+H500</f>
        <v>12144.6</v>
      </c>
      <c r="I492" s="192"/>
    </row>
    <row r="493" spans="1:9" ht="31.5" x14ac:dyDescent="0.25">
      <c r="A493" s="396" t="s">
        <v>896</v>
      </c>
      <c r="B493" s="16">
        <v>905</v>
      </c>
      <c r="C493" s="20" t="s">
        <v>118</v>
      </c>
      <c r="D493" s="20" t="s">
        <v>150</v>
      </c>
      <c r="E493" s="20" t="s">
        <v>859</v>
      </c>
      <c r="F493" s="20"/>
      <c r="G493" s="397">
        <f>G494+G496+G498</f>
        <v>11682.6</v>
      </c>
      <c r="H493" s="397">
        <f>H494+H496+H498</f>
        <v>11682.6</v>
      </c>
      <c r="I493" s="192"/>
    </row>
    <row r="494" spans="1:9" ht="78.75" x14ac:dyDescent="0.25">
      <c r="A494" s="396" t="s">
        <v>127</v>
      </c>
      <c r="B494" s="16">
        <v>905</v>
      </c>
      <c r="C494" s="20" t="s">
        <v>118</v>
      </c>
      <c r="D494" s="20" t="s">
        <v>150</v>
      </c>
      <c r="E494" s="20" t="s">
        <v>859</v>
      </c>
      <c r="F494" s="20" t="s">
        <v>128</v>
      </c>
      <c r="G494" s="397">
        <f>G495</f>
        <v>11111.6</v>
      </c>
      <c r="H494" s="397">
        <f>H495</f>
        <v>11111.6</v>
      </c>
      <c r="I494" s="192"/>
    </row>
    <row r="495" spans="1:9" ht="31.5" x14ac:dyDescent="0.25">
      <c r="A495" s="396" t="s">
        <v>129</v>
      </c>
      <c r="B495" s="16">
        <v>905</v>
      </c>
      <c r="C495" s="20" t="s">
        <v>118</v>
      </c>
      <c r="D495" s="20" t="s">
        <v>150</v>
      </c>
      <c r="E495" s="20" t="s">
        <v>859</v>
      </c>
      <c r="F495" s="20" t="s">
        <v>130</v>
      </c>
      <c r="G495" s="397">
        <v>11111.6</v>
      </c>
      <c r="H495" s="397">
        <f t="shared" si="38"/>
        <v>11111.6</v>
      </c>
      <c r="I495" s="192"/>
    </row>
    <row r="496" spans="1:9" ht="31.5" x14ac:dyDescent="0.25">
      <c r="A496" s="396" t="s">
        <v>131</v>
      </c>
      <c r="B496" s="16">
        <v>905</v>
      </c>
      <c r="C496" s="20" t="s">
        <v>118</v>
      </c>
      <c r="D496" s="20" t="s">
        <v>150</v>
      </c>
      <c r="E496" s="20" t="s">
        <v>859</v>
      </c>
      <c r="F496" s="20" t="s">
        <v>132</v>
      </c>
      <c r="G496" s="397">
        <f>G497</f>
        <v>440</v>
      </c>
      <c r="H496" s="397">
        <f>H497</f>
        <v>440</v>
      </c>
      <c r="I496" s="192"/>
    </row>
    <row r="497" spans="1:9" ht="31.5" x14ac:dyDescent="0.25">
      <c r="A497" s="396" t="s">
        <v>133</v>
      </c>
      <c r="B497" s="16">
        <v>905</v>
      </c>
      <c r="C497" s="20" t="s">
        <v>118</v>
      </c>
      <c r="D497" s="20" t="s">
        <v>150</v>
      </c>
      <c r="E497" s="20" t="s">
        <v>859</v>
      </c>
      <c r="F497" s="20" t="s">
        <v>134</v>
      </c>
      <c r="G497" s="397">
        <f>440</f>
        <v>440</v>
      </c>
      <c r="H497" s="397">
        <f t="shared" si="38"/>
        <v>440</v>
      </c>
      <c r="I497" s="192"/>
    </row>
    <row r="498" spans="1:9" ht="15.75" x14ac:dyDescent="0.25">
      <c r="A498" s="396" t="s">
        <v>135</v>
      </c>
      <c r="B498" s="16">
        <v>905</v>
      </c>
      <c r="C498" s="20" t="s">
        <v>118</v>
      </c>
      <c r="D498" s="20" t="s">
        <v>150</v>
      </c>
      <c r="E498" s="20" t="s">
        <v>859</v>
      </c>
      <c r="F498" s="20" t="s">
        <v>145</v>
      </c>
      <c r="G498" s="397">
        <f>G499</f>
        <v>131</v>
      </c>
      <c r="H498" s="397">
        <f>H499</f>
        <v>131</v>
      </c>
      <c r="I498" s="192"/>
    </row>
    <row r="499" spans="1:9" ht="15.75" x14ac:dyDescent="0.25">
      <c r="A499" s="396" t="s">
        <v>568</v>
      </c>
      <c r="B499" s="16">
        <v>905</v>
      </c>
      <c r="C499" s="20" t="s">
        <v>118</v>
      </c>
      <c r="D499" s="20" t="s">
        <v>150</v>
      </c>
      <c r="E499" s="20" t="s">
        <v>859</v>
      </c>
      <c r="F499" s="20" t="s">
        <v>138</v>
      </c>
      <c r="G499" s="397">
        <f>131</f>
        <v>131</v>
      </c>
      <c r="H499" s="397">
        <f t="shared" si="38"/>
        <v>131</v>
      </c>
      <c r="I499" s="192"/>
    </row>
    <row r="500" spans="1:9" ht="47.25" x14ac:dyDescent="0.25">
      <c r="A500" s="396" t="s">
        <v>838</v>
      </c>
      <c r="B500" s="16">
        <v>905</v>
      </c>
      <c r="C500" s="20" t="s">
        <v>118</v>
      </c>
      <c r="D500" s="20" t="s">
        <v>150</v>
      </c>
      <c r="E500" s="20" t="s">
        <v>861</v>
      </c>
      <c r="F500" s="20"/>
      <c r="G500" s="397">
        <f>G501</f>
        <v>462</v>
      </c>
      <c r="H500" s="397">
        <f>H501</f>
        <v>462</v>
      </c>
      <c r="I500" s="192"/>
    </row>
    <row r="501" spans="1:9" ht="78.75" x14ac:dyDescent="0.25">
      <c r="A501" s="396" t="s">
        <v>127</v>
      </c>
      <c r="B501" s="16">
        <v>905</v>
      </c>
      <c r="C501" s="20" t="s">
        <v>118</v>
      </c>
      <c r="D501" s="20" t="s">
        <v>150</v>
      </c>
      <c r="E501" s="20" t="s">
        <v>861</v>
      </c>
      <c r="F501" s="20" t="s">
        <v>128</v>
      </c>
      <c r="G501" s="397">
        <f>G502</f>
        <v>462</v>
      </c>
      <c r="H501" s="397">
        <f>H502</f>
        <v>462</v>
      </c>
      <c r="I501" s="192"/>
    </row>
    <row r="502" spans="1:9" ht="31.5" x14ac:dyDescent="0.25">
      <c r="A502" s="396" t="s">
        <v>129</v>
      </c>
      <c r="B502" s="16">
        <v>905</v>
      </c>
      <c r="C502" s="20" t="s">
        <v>118</v>
      </c>
      <c r="D502" s="20" t="s">
        <v>150</v>
      </c>
      <c r="E502" s="20" t="s">
        <v>861</v>
      </c>
      <c r="F502" s="20" t="s">
        <v>130</v>
      </c>
      <c r="G502" s="397">
        <v>462</v>
      </c>
      <c r="H502" s="397">
        <f t="shared" ref="H502:H569" si="45">G502</f>
        <v>462</v>
      </c>
      <c r="I502" s="192"/>
    </row>
    <row r="503" spans="1:9" s="191" customFormat="1" ht="31.5" x14ac:dyDescent="0.25">
      <c r="A503" s="394" t="s">
        <v>884</v>
      </c>
      <c r="B503" s="19">
        <v>905</v>
      </c>
      <c r="C503" s="24" t="s">
        <v>118</v>
      </c>
      <c r="D503" s="24" t="s">
        <v>150</v>
      </c>
      <c r="E503" s="24" t="s">
        <v>862</v>
      </c>
      <c r="F503" s="24"/>
      <c r="G503" s="393">
        <f t="shared" ref="G503:H505" si="46">G504</f>
        <v>22.3</v>
      </c>
      <c r="H503" s="393">
        <f t="shared" si="46"/>
        <v>22.3</v>
      </c>
      <c r="I503" s="192"/>
    </row>
    <row r="504" spans="1:9" s="191" customFormat="1" ht="94.5" x14ac:dyDescent="0.25">
      <c r="A504" s="31" t="s">
        <v>1167</v>
      </c>
      <c r="B504" s="16">
        <v>905</v>
      </c>
      <c r="C504" s="20" t="s">
        <v>118</v>
      </c>
      <c r="D504" s="20" t="s">
        <v>150</v>
      </c>
      <c r="E504" s="20" t="s">
        <v>1166</v>
      </c>
      <c r="F504" s="20"/>
      <c r="G504" s="397">
        <f t="shared" si="46"/>
        <v>22.3</v>
      </c>
      <c r="H504" s="397">
        <f t="shared" si="46"/>
        <v>22.3</v>
      </c>
      <c r="I504" s="192"/>
    </row>
    <row r="505" spans="1:9" s="191" customFormat="1" ht="78.75" x14ac:dyDescent="0.25">
      <c r="A505" s="396" t="s">
        <v>127</v>
      </c>
      <c r="B505" s="16">
        <v>905</v>
      </c>
      <c r="C505" s="20" t="s">
        <v>118</v>
      </c>
      <c r="D505" s="20" t="s">
        <v>150</v>
      </c>
      <c r="E505" s="20" t="s">
        <v>1166</v>
      </c>
      <c r="F505" s="20" t="s">
        <v>128</v>
      </c>
      <c r="G505" s="397">
        <f>G506</f>
        <v>22.3</v>
      </c>
      <c r="H505" s="397">
        <f t="shared" si="46"/>
        <v>22.3</v>
      </c>
      <c r="I505" s="192"/>
    </row>
    <row r="506" spans="1:9" s="191" customFormat="1" ht="31.5" x14ac:dyDescent="0.25">
      <c r="A506" s="396" t="s">
        <v>129</v>
      </c>
      <c r="B506" s="16">
        <v>905</v>
      </c>
      <c r="C506" s="20" t="s">
        <v>118</v>
      </c>
      <c r="D506" s="20" t="s">
        <v>150</v>
      </c>
      <c r="E506" s="20" t="s">
        <v>1166</v>
      </c>
      <c r="F506" s="20" t="s">
        <v>130</v>
      </c>
      <c r="G506" s="397">
        <v>22.3</v>
      </c>
      <c r="H506" s="397">
        <v>22.3</v>
      </c>
      <c r="I506" s="192"/>
    </row>
    <row r="507" spans="1:9" ht="15.75" x14ac:dyDescent="0.25">
      <c r="A507" s="394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393">
        <f>G508+G516</f>
        <v>5202.1000000000004</v>
      </c>
      <c r="H507" s="393">
        <f>H508+H516</f>
        <v>5202.1000000000004</v>
      </c>
      <c r="I507" s="192"/>
    </row>
    <row r="508" spans="1:9" ht="15.75" x14ac:dyDescent="0.25">
      <c r="A508" s="394" t="s">
        <v>141</v>
      </c>
      <c r="B508" s="19">
        <v>905</v>
      </c>
      <c r="C508" s="24" t="s">
        <v>118</v>
      </c>
      <c r="D508" s="24" t="s">
        <v>140</v>
      </c>
      <c r="E508" s="24" t="s">
        <v>865</v>
      </c>
      <c r="F508" s="24"/>
      <c r="G508" s="393">
        <f>G509</f>
        <v>5202.1000000000004</v>
      </c>
      <c r="H508" s="393">
        <f>H509</f>
        <v>5202.1000000000004</v>
      </c>
      <c r="I508" s="192"/>
    </row>
    <row r="509" spans="1:9" ht="31.5" x14ac:dyDescent="0.25">
      <c r="A509" s="394" t="s">
        <v>869</v>
      </c>
      <c r="B509" s="19">
        <v>905</v>
      </c>
      <c r="C509" s="24" t="s">
        <v>118</v>
      </c>
      <c r="D509" s="24" t="s">
        <v>140</v>
      </c>
      <c r="E509" s="24" t="s">
        <v>864</v>
      </c>
      <c r="F509" s="24"/>
      <c r="G509" s="393">
        <f>G510+G513</f>
        <v>5202.1000000000004</v>
      </c>
      <c r="H509" s="393">
        <f>H510+H513</f>
        <v>5202.1000000000004</v>
      </c>
      <c r="I509" s="192"/>
    </row>
    <row r="510" spans="1:9" ht="47.25" x14ac:dyDescent="0.25">
      <c r="A510" s="396" t="s">
        <v>388</v>
      </c>
      <c r="B510" s="16">
        <v>905</v>
      </c>
      <c r="C510" s="20" t="s">
        <v>118</v>
      </c>
      <c r="D510" s="20" t="s">
        <v>140</v>
      </c>
      <c r="E510" s="20" t="s">
        <v>1010</v>
      </c>
      <c r="F510" s="20"/>
      <c r="G510" s="397">
        <f>G511</f>
        <v>5202.1000000000004</v>
      </c>
      <c r="H510" s="397">
        <f>H511</f>
        <v>5202.1000000000004</v>
      </c>
      <c r="I510" s="192"/>
    </row>
    <row r="511" spans="1:9" ht="31.5" x14ac:dyDescent="0.25">
      <c r="A511" s="396" t="s">
        <v>131</v>
      </c>
      <c r="B511" s="16">
        <v>905</v>
      </c>
      <c r="C511" s="20" t="s">
        <v>118</v>
      </c>
      <c r="D511" s="20" t="s">
        <v>140</v>
      </c>
      <c r="E511" s="20" t="s">
        <v>1010</v>
      </c>
      <c r="F511" s="20" t="s">
        <v>132</v>
      </c>
      <c r="G511" s="397">
        <f>G512</f>
        <v>5202.1000000000004</v>
      </c>
      <c r="H511" s="397">
        <f>H512</f>
        <v>5202.1000000000004</v>
      </c>
      <c r="I511" s="192"/>
    </row>
    <row r="512" spans="1:9" ht="35.450000000000003" customHeight="1" x14ac:dyDescent="0.25">
      <c r="A512" s="396" t="s">
        <v>133</v>
      </c>
      <c r="B512" s="16">
        <v>905</v>
      </c>
      <c r="C512" s="20" t="s">
        <v>118</v>
      </c>
      <c r="D512" s="20" t="s">
        <v>140</v>
      </c>
      <c r="E512" s="20" t="s">
        <v>1010</v>
      </c>
      <c r="F512" s="20" t="s">
        <v>134</v>
      </c>
      <c r="G512" s="397">
        <v>5202.1000000000004</v>
      </c>
      <c r="H512" s="397">
        <f t="shared" si="45"/>
        <v>5202.1000000000004</v>
      </c>
      <c r="I512" s="192"/>
    </row>
    <row r="513" spans="1:9" ht="31.5" hidden="1" x14ac:dyDescent="0.25">
      <c r="A513" s="396" t="s">
        <v>930</v>
      </c>
      <c r="B513" s="16">
        <v>905</v>
      </c>
      <c r="C513" s="20" t="s">
        <v>118</v>
      </c>
      <c r="D513" s="20" t="s">
        <v>140</v>
      </c>
      <c r="E513" s="20" t="s">
        <v>1011</v>
      </c>
      <c r="F513" s="20"/>
      <c r="G513" s="397">
        <f>'Пр.4 ведом.21'!G597</f>
        <v>0</v>
      </c>
      <c r="H513" s="397">
        <f t="shared" si="45"/>
        <v>0</v>
      </c>
      <c r="I513" s="192"/>
    </row>
    <row r="514" spans="1:9" ht="31.5" hidden="1" x14ac:dyDescent="0.25">
      <c r="A514" s="396" t="s">
        <v>131</v>
      </c>
      <c r="B514" s="16">
        <v>905</v>
      </c>
      <c r="C514" s="20" t="s">
        <v>118</v>
      </c>
      <c r="D514" s="20" t="s">
        <v>140</v>
      </c>
      <c r="E514" s="20" t="s">
        <v>1011</v>
      </c>
      <c r="F514" s="20" t="s">
        <v>132</v>
      </c>
      <c r="G514" s="397">
        <f>'Пр.4 ведом.21'!G598</f>
        <v>0</v>
      </c>
      <c r="H514" s="397">
        <f t="shared" si="45"/>
        <v>0</v>
      </c>
      <c r="I514" s="192"/>
    </row>
    <row r="515" spans="1:9" ht="31.5" hidden="1" x14ac:dyDescent="0.25">
      <c r="A515" s="396" t="s">
        <v>133</v>
      </c>
      <c r="B515" s="16">
        <v>905</v>
      </c>
      <c r="C515" s="20" t="s">
        <v>118</v>
      </c>
      <c r="D515" s="20" t="s">
        <v>140</v>
      </c>
      <c r="E515" s="20" t="s">
        <v>1011</v>
      </c>
      <c r="F515" s="20" t="s">
        <v>134</v>
      </c>
      <c r="G515" s="397">
        <f>'Пр.4 ведом.21'!G599</f>
        <v>0</v>
      </c>
      <c r="H515" s="397">
        <f t="shared" si="45"/>
        <v>0</v>
      </c>
      <c r="I515" s="192"/>
    </row>
    <row r="516" spans="1:9" ht="63" hidden="1" x14ac:dyDescent="0.25">
      <c r="A516" s="394" t="s">
        <v>1175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393">
        <f t="shared" ref="G516:H519" si="47">G517</f>
        <v>0</v>
      </c>
      <c r="H516" s="393">
        <f t="shared" si="47"/>
        <v>0</v>
      </c>
      <c r="I516" s="192"/>
    </row>
    <row r="517" spans="1:9" ht="31.5" hidden="1" x14ac:dyDescent="0.25">
      <c r="A517" s="394" t="s">
        <v>929</v>
      </c>
      <c r="B517" s="19">
        <v>905</v>
      </c>
      <c r="C517" s="24" t="s">
        <v>118</v>
      </c>
      <c r="D517" s="24" t="s">
        <v>140</v>
      </c>
      <c r="E517" s="24" t="s">
        <v>1019</v>
      </c>
      <c r="F517" s="24"/>
      <c r="G517" s="393">
        <f t="shared" si="47"/>
        <v>0</v>
      </c>
      <c r="H517" s="393">
        <f t="shared" si="47"/>
        <v>0</v>
      </c>
      <c r="I517" s="192"/>
    </row>
    <row r="518" spans="1:9" ht="31.5" hidden="1" x14ac:dyDescent="0.25">
      <c r="A518" s="396" t="s">
        <v>790</v>
      </c>
      <c r="B518" s="16">
        <v>905</v>
      </c>
      <c r="C518" s="20" t="s">
        <v>118</v>
      </c>
      <c r="D518" s="20" t="s">
        <v>140</v>
      </c>
      <c r="E518" s="20" t="s">
        <v>1020</v>
      </c>
      <c r="F518" s="20"/>
      <c r="G518" s="397">
        <f t="shared" si="47"/>
        <v>0</v>
      </c>
      <c r="H518" s="397">
        <f t="shared" si="47"/>
        <v>0</v>
      </c>
      <c r="I518" s="192"/>
    </row>
    <row r="519" spans="1:9" ht="31.5" hidden="1" x14ac:dyDescent="0.25">
      <c r="A519" s="396" t="s">
        <v>131</v>
      </c>
      <c r="B519" s="16">
        <v>905</v>
      </c>
      <c r="C519" s="20" t="s">
        <v>118</v>
      </c>
      <c r="D519" s="20" t="s">
        <v>140</v>
      </c>
      <c r="E519" s="20" t="s">
        <v>1020</v>
      </c>
      <c r="F519" s="20" t="s">
        <v>132</v>
      </c>
      <c r="G519" s="397">
        <f t="shared" si="47"/>
        <v>0</v>
      </c>
      <c r="H519" s="397">
        <f t="shared" si="47"/>
        <v>0</v>
      </c>
      <c r="I519" s="192"/>
    </row>
    <row r="520" spans="1:9" ht="31.5" hidden="1" x14ac:dyDescent="0.25">
      <c r="A520" s="396" t="s">
        <v>133</v>
      </c>
      <c r="B520" s="16">
        <v>905</v>
      </c>
      <c r="C520" s="20" t="s">
        <v>118</v>
      </c>
      <c r="D520" s="20" t="s">
        <v>140</v>
      </c>
      <c r="E520" s="20" t="s">
        <v>1020</v>
      </c>
      <c r="F520" s="20" t="s">
        <v>134</v>
      </c>
      <c r="G520" s="397">
        <v>0</v>
      </c>
      <c r="H520" s="397">
        <v>0</v>
      </c>
      <c r="I520" s="192"/>
    </row>
    <row r="521" spans="1:9" ht="15.75" x14ac:dyDescent="0.25">
      <c r="A521" s="400" t="s">
        <v>390</v>
      </c>
      <c r="B521" s="19">
        <v>905</v>
      </c>
      <c r="C521" s="24" t="s">
        <v>234</v>
      </c>
      <c r="D521" s="24"/>
      <c r="E521" s="24"/>
      <c r="F521" s="24"/>
      <c r="G521" s="393">
        <f t="shared" ref="G521:H523" si="48">G522</f>
        <v>270.39999999999998</v>
      </c>
      <c r="H521" s="393">
        <f t="shared" si="48"/>
        <v>270.39999999999998</v>
      </c>
      <c r="I521" s="192"/>
    </row>
    <row r="522" spans="1:9" ht="15.75" x14ac:dyDescent="0.25">
      <c r="A522" s="400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393">
        <f t="shared" si="48"/>
        <v>270.39999999999998</v>
      </c>
      <c r="H522" s="393">
        <f t="shared" si="48"/>
        <v>270.39999999999998</v>
      </c>
      <c r="I522" s="192"/>
    </row>
    <row r="523" spans="1:9" ht="15.75" x14ac:dyDescent="0.25">
      <c r="A523" s="394" t="s">
        <v>141</v>
      </c>
      <c r="B523" s="19">
        <v>905</v>
      </c>
      <c r="C523" s="24" t="s">
        <v>234</v>
      </c>
      <c r="D523" s="24" t="s">
        <v>118</v>
      </c>
      <c r="E523" s="24" t="s">
        <v>865</v>
      </c>
      <c r="F523" s="24"/>
      <c r="G523" s="393">
        <f t="shared" si="48"/>
        <v>270.39999999999998</v>
      </c>
      <c r="H523" s="393">
        <f t="shared" si="48"/>
        <v>270.39999999999998</v>
      </c>
      <c r="I523" s="192"/>
    </row>
    <row r="524" spans="1:9" ht="31.5" x14ac:dyDescent="0.25">
      <c r="A524" s="394" t="s">
        <v>869</v>
      </c>
      <c r="B524" s="19">
        <v>905</v>
      </c>
      <c r="C524" s="24" t="s">
        <v>234</v>
      </c>
      <c r="D524" s="24" t="s">
        <v>118</v>
      </c>
      <c r="E524" s="24" t="s">
        <v>864</v>
      </c>
      <c r="F524" s="24"/>
      <c r="G524" s="393">
        <f>G525+G528</f>
        <v>270.39999999999998</v>
      </c>
      <c r="H524" s="393">
        <f>H525+H528</f>
        <v>270.39999999999998</v>
      </c>
      <c r="I524" s="192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960</v>
      </c>
      <c r="F525" s="20"/>
      <c r="G525" s="397">
        <f>G526</f>
        <v>270.39999999999998</v>
      </c>
      <c r="H525" s="397">
        <f>H526</f>
        <v>270.39999999999998</v>
      </c>
      <c r="I525" s="192"/>
    </row>
    <row r="526" spans="1:9" ht="31.5" x14ac:dyDescent="0.25">
      <c r="A526" s="396" t="s">
        <v>131</v>
      </c>
      <c r="B526" s="16">
        <v>905</v>
      </c>
      <c r="C526" s="20" t="s">
        <v>234</v>
      </c>
      <c r="D526" s="20" t="s">
        <v>118</v>
      </c>
      <c r="E526" s="20" t="s">
        <v>960</v>
      </c>
      <c r="F526" s="20" t="s">
        <v>132</v>
      </c>
      <c r="G526" s="397">
        <f>G527</f>
        <v>270.39999999999998</v>
      </c>
      <c r="H526" s="397">
        <f>H527</f>
        <v>270.39999999999998</v>
      </c>
      <c r="I526" s="192"/>
    </row>
    <row r="527" spans="1:9" ht="31.5" x14ac:dyDescent="0.25">
      <c r="A527" s="396" t="s">
        <v>133</v>
      </c>
      <c r="B527" s="16">
        <v>905</v>
      </c>
      <c r="C527" s="20" t="s">
        <v>234</v>
      </c>
      <c r="D527" s="20" t="s">
        <v>118</v>
      </c>
      <c r="E527" s="20" t="s">
        <v>960</v>
      </c>
      <c r="F527" s="20" t="s">
        <v>134</v>
      </c>
      <c r="G527" s="397">
        <f>270.4</f>
        <v>270.39999999999998</v>
      </c>
      <c r="H527" s="397">
        <f t="shared" si="45"/>
        <v>270.39999999999998</v>
      </c>
      <c r="I527" s="192"/>
    </row>
    <row r="528" spans="1:9" ht="31.5" hidden="1" x14ac:dyDescent="0.25">
      <c r="A528" s="29" t="s">
        <v>931</v>
      </c>
      <c r="B528" s="16">
        <v>905</v>
      </c>
      <c r="C528" s="20" t="s">
        <v>234</v>
      </c>
      <c r="D528" s="20" t="s">
        <v>118</v>
      </c>
      <c r="E528" s="20" t="s">
        <v>961</v>
      </c>
      <c r="F528" s="20"/>
      <c r="G528" s="397">
        <f>G529</f>
        <v>0</v>
      </c>
      <c r="H528" s="397">
        <f>H529</f>
        <v>0</v>
      </c>
      <c r="I528" s="192"/>
    </row>
    <row r="529" spans="1:15" ht="31.5" hidden="1" x14ac:dyDescent="0.25">
      <c r="A529" s="396" t="s">
        <v>131</v>
      </c>
      <c r="B529" s="16">
        <v>905</v>
      </c>
      <c r="C529" s="20" t="s">
        <v>234</v>
      </c>
      <c r="D529" s="20" t="s">
        <v>118</v>
      </c>
      <c r="E529" s="20" t="s">
        <v>961</v>
      </c>
      <c r="F529" s="20" t="s">
        <v>132</v>
      </c>
      <c r="G529" s="397">
        <f>G530</f>
        <v>0</v>
      </c>
      <c r="H529" s="397">
        <f>H530</f>
        <v>0</v>
      </c>
      <c r="I529" s="192"/>
    </row>
    <row r="530" spans="1:15" ht="31.5" hidden="1" x14ac:dyDescent="0.25">
      <c r="A530" s="396" t="s">
        <v>133</v>
      </c>
      <c r="B530" s="16">
        <v>905</v>
      </c>
      <c r="C530" s="20" t="s">
        <v>234</v>
      </c>
      <c r="D530" s="20" t="s">
        <v>118</v>
      </c>
      <c r="E530" s="20" t="s">
        <v>961</v>
      </c>
      <c r="F530" s="20" t="s">
        <v>134</v>
      </c>
      <c r="G530" s="397">
        <v>0</v>
      </c>
      <c r="H530" s="397">
        <v>0</v>
      </c>
      <c r="I530" s="192"/>
    </row>
    <row r="531" spans="1:15" s="191" customFormat="1" ht="15.75" x14ac:dyDescent="0.25">
      <c r="A531" s="394" t="s">
        <v>243</v>
      </c>
      <c r="B531" s="19">
        <v>905</v>
      </c>
      <c r="C531" s="24" t="s">
        <v>244</v>
      </c>
      <c r="D531" s="20"/>
      <c r="E531" s="20"/>
      <c r="F531" s="20"/>
      <c r="G531" s="393">
        <f t="shared" ref="G531:H535" si="49">G532</f>
        <v>2469.1</v>
      </c>
      <c r="H531" s="393">
        <f t="shared" si="49"/>
        <v>10803.2</v>
      </c>
      <c r="I531" s="192"/>
    </row>
    <row r="532" spans="1:15" s="191" customFormat="1" ht="15.75" x14ac:dyDescent="0.25">
      <c r="A532" s="394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393">
        <f t="shared" si="49"/>
        <v>2469.1</v>
      </c>
      <c r="H532" s="393">
        <f t="shared" si="49"/>
        <v>10803.2</v>
      </c>
      <c r="I532" s="192"/>
    </row>
    <row r="533" spans="1:15" s="191" customFormat="1" ht="31.5" x14ac:dyDescent="0.25">
      <c r="A533" s="394" t="s">
        <v>884</v>
      </c>
      <c r="B533" s="19">
        <v>905</v>
      </c>
      <c r="C533" s="24" t="s">
        <v>244</v>
      </c>
      <c r="D533" s="24" t="s">
        <v>150</v>
      </c>
      <c r="E533" s="24" t="s">
        <v>862</v>
      </c>
      <c r="F533" s="20"/>
      <c r="G533" s="393">
        <f t="shared" si="49"/>
        <v>2469.1</v>
      </c>
      <c r="H533" s="393">
        <f t="shared" si="49"/>
        <v>10803.2</v>
      </c>
      <c r="I533" s="192"/>
    </row>
    <row r="534" spans="1:15" s="191" customFormat="1" ht="47.25" x14ac:dyDescent="0.25">
      <c r="A534" s="396" t="s">
        <v>1169</v>
      </c>
      <c r="B534" s="16">
        <v>905</v>
      </c>
      <c r="C534" s="20" t="s">
        <v>244</v>
      </c>
      <c r="D534" s="20" t="s">
        <v>150</v>
      </c>
      <c r="E534" s="20" t="s">
        <v>1168</v>
      </c>
      <c r="F534" s="20"/>
      <c r="G534" s="397">
        <f t="shared" si="49"/>
        <v>2469.1</v>
      </c>
      <c r="H534" s="397">
        <f t="shared" si="49"/>
        <v>10803.2</v>
      </c>
      <c r="I534" s="192"/>
    </row>
    <row r="535" spans="1:15" s="191" customFormat="1" ht="31.5" x14ac:dyDescent="0.25">
      <c r="A535" s="396" t="s">
        <v>131</v>
      </c>
      <c r="B535" s="16">
        <v>905</v>
      </c>
      <c r="C535" s="20" t="s">
        <v>244</v>
      </c>
      <c r="D535" s="20" t="s">
        <v>150</v>
      </c>
      <c r="E535" s="20" t="s">
        <v>1168</v>
      </c>
      <c r="F535" s="20" t="s">
        <v>132</v>
      </c>
      <c r="G535" s="397">
        <f t="shared" si="49"/>
        <v>2469.1</v>
      </c>
      <c r="H535" s="397">
        <f t="shared" si="49"/>
        <v>10803.2</v>
      </c>
      <c r="I535" s="192"/>
    </row>
    <row r="536" spans="1:15" s="191" customFormat="1" ht="32.65" customHeight="1" x14ac:dyDescent="0.25">
      <c r="A536" s="396" t="s">
        <v>133</v>
      </c>
      <c r="B536" s="16">
        <v>905</v>
      </c>
      <c r="C536" s="20" t="s">
        <v>244</v>
      </c>
      <c r="D536" s="20" t="s">
        <v>150</v>
      </c>
      <c r="E536" s="20" t="s">
        <v>1168</v>
      </c>
      <c r="F536" s="20" t="s">
        <v>134</v>
      </c>
      <c r="G536" s="397">
        <v>2469.1</v>
      </c>
      <c r="H536" s="397">
        <v>10803.2</v>
      </c>
      <c r="I536" s="192"/>
    </row>
    <row r="537" spans="1:15" ht="31.5" x14ac:dyDescent="0.25">
      <c r="A537" s="391" t="s">
        <v>403</v>
      </c>
      <c r="B537" s="19">
        <v>906</v>
      </c>
      <c r="C537" s="24"/>
      <c r="D537" s="24"/>
      <c r="E537" s="24"/>
      <c r="F537" s="24"/>
      <c r="G537" s="393">
        <f>G548+G538</f>
        <v>346220.19999999995</v>
      </c>
      <c r="H537" s="393">
        <f>H548+H538</f>
        <v>369274.95</v>
      </c>
      <c r="I537" s="192"/>
      <c r="M537" s="22"/>
      <c r="O537" s="216"/>
    </row>
    <row r="538" spans="1:15" ht="15.75" hidden="1" x14ac:dyDescent="0.25">
      <c r="A538" s="394" t="s">
        <v>117</v>
      </c>
      <c r="B538" s="19">
        <v>906</v>
      </c>
      <c r="C538" s="24" t="s">
        <v>118</v>
      </c>
      <c r="D538" s="24"/>
      <c r="E538" s="24"/>
      <c r="F538" s="24"/>
      <c r="G538" s="393">
        <f t="shared" ref="G538:H541" si="50">G539</f>
        <v>0</v>
      </c>
      <c r="H538" s="393">
        <f t="shared" si="50"/>
        <v>0</v>
      </c>
      <c r="I538" s="192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393">
        <f t="shared" si="50"/>
        <v>0</v>
      </c>
      <c r="H539" s="393">
        <f t="shared" si="50"/>
        <v>0</v>
      </c>
      <c r="I539" s="192"/>
    </row>
    <row r="540" spans="1:15" ht="47.25" hidden="1" x14ac:dyDescent="0.25">
      <c r="A540" s="394" t="s">
        <v>1354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393">
        <f t="shared" si="50"/>
        <v>0</v>
      </c>
      <c r="H540" s="393">
        <f t="shared" si="50"/>
        <v>0</v>
      </c>
      <c r="I540" s="192"/>
    </row>
    <row r="541" spans="1:15" ht="31.5" hidden="1" x14ac:dyDescent="0.25">
      <c r="A541" s="197" t="s">
        <v>1050</v>
      </c>
      <c r="B541" s="19">
        <v>906</v>
      </c>
      <c r="C541" s="24" t="s">
        <v>118</v>
      </c>
      <c r="D541" s="24" t="s">
        <v>140</v>
      </c>
      <c r="E541" s="24" t="s">
        <v>1051</v>
      </c>
      <c r="F541" s="24"/>
      <c r="G541" s="393">
        <f t="shared" si="50"/>
        <v>0</v>
      </c>
      <c r="H541" s="393">
        <f t="shared" si="50"/>
        <v>0</v>
      </c>
      <c r="I541" s="192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1052</v>
      </c>
      <c r="F542" s="20"/>
      <c r="G542" s="397">
        <f>G543</f>
        <v>0</v>
      </c>
      <c r="H542" s="397">
        <f>H543</f>
        <v>0</v>
      </c>
      <c r="I542" s="192"/>
    </row>
    <row r="543" spans="1:15" ht="31.5" hidden="1" x14ac:dyDescent="0.25">
      <c r="A543" s="396" t="s">
        <v>131</v>
      </c>
      <c r="B543" s="16">
        <v>906</v>
      </c>
      <c r="C543" s="20" t="s">
        <v>118</v>
      </c>
      <c r="D543" s="20" t="s">
        <v>140</v>
      </c>
      <c r="E543" s="20" t="s">
        <v>1052</v>
      </c>
      <c r="F543" s="20" t="s">
        <v>132</v>
      </c>
      <c r="G543" s="397">
        <f>G544</f>
        <v>0</v>
      </c>
      <c r="H543" s="397">
        <f>H544</f>
        <v>0</v>
      </c>
      <c r="I543" s="192"/>
    </row>
    <row r="544" spans="1:15" ht="31.5" hidden="1" x14ac:dyDescent="0.25">
      <c r="A544" s="396" t="s">
        <v>133</v>
      </c>
      <c r="B544" s="16">
        <v>906</v>
      </c>
      <c r="C544" s="20" t="s">
        <v>118</v>
      </c>
      <c r="D544" s="20" t="s">
        <v>140</v>
      </c>
      <c r="E544" s="20" t="s">
        <v>1052</v>
      </c>
      <c r="F544" s="20" t="s">
        <v>134</v>
      </c>
      <c r="G544" s="397">
        <v>0</v>
      </c>
      <c r="H544" s="397">
        <v>0</v>
      </c>
      <c r="I544" s="192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1074</v>
      </c>
      <c r="F545" s="20"/>
      <c r="G545" s="397" t="e">
        <f>'Пр.4 ведом.21'!#REF!</f>
        <v>#REF!</v>
      </c>
      <c r="H545" s="397" t="e">
        <f t="shared" si="45"/>
        <v>#REF!</v>
      </c>
      <c r="I545" s="192"/>
    </row>
    <row r="546" spans="1:9" ht="31.5" hidden="1" x14ac:dyDescent="0.25">
      <c r="A546" s="396" t="s">
        <v>131</v>
      </c>
      <c r="B546" s="16">
        <v>906</v>
      </c>
      <c r="C546" s="20" t="s">
        <v>118</v>
      </c>
      <c r="D546" s="20" t="s">
        <v>140</v>
      </c>
      <c r="E546" s="20" t="s">
        <v>1074</v>
      </c>
      <c r="F546" s="20" t="s">
        <v>132</v>
      </c>
      <c r="G546" s="397" t="e">
        <f>'Пр.4 ведом.21'!#REF!</f>
        <v>#REF!</v>
      </c>
      <c r="H546" s="397" t="e">
        <f t="shared" si="45"/>
        <v>#REF!</v>
      </c>
      <c r="I546" s="192"/>
    </row>
    <row r="547" spans="1:9" ht="31.5" hidden="1" x14ac:dyDescent="0.25">
      <c r="A547" s="396" t="s">
        <v>133</v>
      </c>
      <c r="B547" s="16">
        <v>906</v>
      </c>
      <c r="C547" s="20" t="s">
        <v>118</v>
      </c>
      <c r="D547" s="20" t="s">
        <v>140</v>
      </c>
      <c r="E547" s="20" t="s">
        <v>1074</v>
      </c>
      <c r="F547" s="20" t="s">
        <v>134</v>
      </c>
      <c r="G547" s="397" t="e">
        <f>'Пр.4 ведом.21'!#REF!</f>
        <v>#REF!</v>
      </c>
      <c r="H547" s="397" t="e">
        <f t="shared" si="45"/>
        <v>#REF!</v>
      </c>
      <c r="I547" s="192"/>
    </row>
    <row r="548" spans="1:9" ht="15.75" x14ac:dyDescent="0.25">
      <c r="A548" s="394" t="s">
        <v>263</v>
      </c>
      <c r="B548" s="19">
        <v>906</v>
      </c>
      <c r="C548" s="24" t="s">
        <v>264</v>
      </c>
      <c r="D548" s="24"/>
      <c r="E548" s="24"/>
      <c r="F548" s="24"/>
      <c r="G548" s="393">
        <f>G549+G609+G720+G729+G691</f>
        <v>346220.19999999995</v>
      </c>
      <c r="H548" s="393">
        <f>H549+H609+H720+H729+H691</f>
        <v>369274.95</v>
      </c>
      <c r="I548" s="192"/>
    </row>
    <row r="549" spans="1:9" ht="15.75" x14ac:dyDescent="0.25">
      <c r="A549" s="394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393">
        <f>G550+G599+G604</f>
        <v>102250.3</v>
      </c>
      <c r="H549" s="393">
        <f>H550+H599+H604</f>
        <v>105829.20000000001</v>
      </c>
      <c r="I549" s="192"/>
    </row>
    <row r="550" spans="1:9" ht="31.9" customHeight="1" x14ac:dyDescent="0.25">
      <c r="A550" s="394" t="s">
        <v>1357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393">
        <f>G551+G555+G568+G578+G588+G592</f>
        <v>101599.40000000001</v>
      </c>
      <c r="H550" s="393">
        <f>H551+H555+H568+H578+H588+H592</f>
        <v>105210.40000000001</v>
      </c>
      <c r="I550" s="192"/>
    </row>
    <row r="551" spans="1:9" ht="31.5" x14ac:dyDescent="0.25">
      <c r="A551" s="394" t="s">
        <v>936</v>
      </c>
      <c r="B551" s="19">
        <v>906</v>
      </c>
      <c r="C551" s="24" t="s">
        <v>264</v>
      </c>
      <c r="D551" s="24" t="s">
        <v>118</v>
      </c>
      <c r="E551" s="24" t="s">
        <v>1228</v>
      </c>
      <c r="F551" s="24"/>
      <c r="G551" s="393">
        <f t="shared" ref="G551:H553" si="51">G552</f>
        <v>14795.6</v>
      </c>
      <c r="H551" s="393">
        <f t="shared" si="51"/>
        <v>14795.6</v>
      </c>
      <c r="I551" s="192"/>
    </row>
    <row r="552" spans="1:9" ht="43.5" customHeight="1" x14ac:dyDescent="0.25">
      <c r="A552" s="396" t="s">
        <v>1227</v>
      </c>
      <c r="B552" s="16">
        <v>906</v>
      </c>
      <c r="C552" s="20" t="s">
        <v>264</v>
      </c>
      <c r="D552" s="20" t="s">
        <v>118</v>
      </c>
      <c r="E552" s="20" t="s">
        <v>1229</v>
      </c>
      <c r="F552" s="20"/>
      <c r="G552" s="397">
        <f t="shared" si="51"/>
        <v>14795.6</v>
      </c>
      <c r="H552" s="397">
        <f t="shared" si="51"/>
        <v>14795.6</v>
      </c>
      <c r="I552" s="192"/>
    </row>
    <row r="553" spans="1:9" ht="31.5" x14ac:dyDescent="0.25">
      <c r="A553" s="396" t="s">
        <v>272</v>
      </c>
      <c r="B553" s="16">
        <v>906</v>
      </c>
      <c r="C553" s="20" t="s">
        <v>264</v>
      </c>
      <c r="D553" s="20" t="s">
        <v>118</v>
      </c>
      <c r="E553" s="20" t="s">
        <v>1229</v>
      </c>
      <c r="F553" s="20" t="s">
        <v>273</v>
      </c>
      <c r="G553" s="397">
        <f t="shared" si="51"/>
        <v>14795.6</v>
      </c>
      <c r="H553" s="397">
        <f t="shared" si="51"/>
        <v>14795.6</v>
      </c>
      <c r="I553" s="192"/>
    </row>
    <row r="554" spans="1:9" ht="15.75" x14ac:dyDescent="0.25">
      <c r="A554" s="396" t="s">
        <v>274</v>
      </c>
      <c r="B554" s="16">
        <v>906</v>
      </c>
      <c r="C554" s="20" t="s">
        <v>264</v>
      </c>
      <c r="D554" s="20" t="s">
        <v>118</v>
      </c>
      <c r="E554" s="20" t="s">
        <v>1229</v>
      </c>
      <c r="F554" s="20" t="s">
        <v>275</v>
      </c>
      <c r="G554" s="397">
        <v>14795.6</v>
      </c>
      <c r="H554" s="397">
        <f t="shared" si="45"/>
        <v>14795.6</v>
      </c>
      <c r="I554" s="192"/>
    </row>
    <row r="555" spans="1:9" ht="47.25" x14ac:dyDescent="0.25">
      <c r="A555" s="394" t="s">
        <v>899</v>
      </c>
      <c r="B555" s="19">
        <v>906</v>
      </c>
      <c r="C555" s="24" t="s">
        <v>264</v>
      </c>
      <c r="D555" s="24" t="s">
        <v>118</v>
      </c>
      <c r="E555" s="24" t="s">
        <v>1230</v>
      </c>
      <c r="F555" s="24"/>
      <c r="G555" s="44">
        <f>G559+G562+G565+G556</f>
        <v>75561.5</v>
      </c>
      <c r="H555" s="44">
        <f>H559+H562+H565+H556</f>
        <v>79924.100000000006</v>
      </c>
      <c r="I555" s="192"/>
    </row>
    <row r="556" spans="1:9" s="191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1389</v>
      </c>
      <c r="F556" s="20"/>
      <c r="G556" s="397">
        <f>G557</f>
        <v>3230</v>
      </c>
      <c r="H556" s="397">
        <f>H557</f>
        <v>3230</v>
      </c>
      <c r="I556" s="192"/>
    </row>
    <row r="557" spans="1:9" s="191" customFormat="1" ht="31.5" x14ac:dyDescent="0.25">
      <c r="A557" s="396" t="s">
        <v>272</v>
      </c>
      <c r="B557" s="16">
        <v>906</v>
      </c>
      <c r="C557" s="20" t="s">
        <v>264</v>
      </c>
      <c r="D557" s="20" t="s">
        <v>118</v>
      </c>
      <c r="E557" s="20" t="s">
        <v>1389</v>
      </c>
      <c r="F557" s="20" t="s">
        <v>273</v>
      </c>
      <c r="G557" s="397">
        <f>G558</f>
        <v>3230</v>
      </c>
      <c r="H557" s="397">
        <f>H558</f>
        <v>3230</v>
      </c>
      <c r="I557" s="192"/>
    </row>
    <row r="558" spans="1:9" s="191" customFormat="1" ht="15.75" x14ac:dyDescent="0.25">
      <c r="A558" s="396" t="s">
        <v>274</v>
      </c>
      <c r="B558" s="16">
        <v>906</v>
      </c>
      <c r="C558" s="20" t="s">
        <v>264</v>
      </c>
      <c r="D558" s="20" t="s">
        <v>118</v>
      </c>
      <c r="E558" s="20" t="s">
        <v>1389</v>
      </c>
      <c r="F558" s="20" t="s">
        <v>275</v>
      </c>
      <c r="G558" s="397">
        <v>3230</v>
      </c>
      <c r="H558" s="397">
        <f>G558</f>
        <v>3230</v>
      </c>
      <c r="I558" s="192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1231</v>
      </c>
      <c r="F559" s="20"/>
      <c r="G559" s="397">
        <f>G560</f>
        <v>589</v>
      </c>
      <c r="H559" s="397">
        <f>H560</f>
        <v>589</v>
      </c>
      <c r="I559" s="192"/>
    </row>
    <row r="560" spans="1:9" ht="31.5" x14ac:dyDescent="0.25">
      <c r="A560" s="396" t="s">
        <v>272</v>
      </c>
      <c r="B560" s="16">
        <v>906</v>
      </c>
      <c r="C560" s="20" t="s">
        <v>264</v>
      </c>
      <c r="D560" s="20" t="s">
        <v>118</v>
      </c>
      <c r="E560" s="20" t="s">
        <v>1231</v>
      </c>
      <c r="F560" s="20" t="s">
        <v>273</v>
      </c>
      <c r="G560" s="397">
        <f>G561</f>
        <v>589</v>
      </c>
      <c r="H560" s="397">
        <f>H561</f>
        <v>589</v>
      </c>
      <c r="I560" s="192"/>
    </row>
    <row r="561" spans="1:9" ht="15.75" x14ac:dyDescent="0.25">
      <c r="A561" s="396" t="s">
        <v>274</v>
      </c>
      <c r="B561" s="16">
        <v>906</v>
      </c>
      <c r="C561" s="20" t="s">
        <v>264</v>
      </c>
      <c r="D561" s="20" t="s">
        <v>118</v>
      </c>
      <c r="E561" s="20" t="s">
        <v>1231</v>
      </c>
      <c r="F561" s="20" t="s">
        <v>275</v>
      </c>
      <c r="G561" s="397">
        <v>589</v>
      </c>
      <c r="H561" s="397">
        <f t="shared" si="45"/>
        <v>589</v>
      </c>
      <c r="I561" s="192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1232</v>
      </c>
      <c r="F562" s="20"/>
      <c r="G562" s="397">
        <f>G563</f>
        <v>1629.3</v>
      </c>
      <c r="H562" s="397">
        <f>H563</f>
        <v>1629.3</v>
      </c>
      <c r="I562" s="192"/>
    </row>
    <row r="563" spans="1:9" ht="31.5" x14ac:dyDescent="0.25">
      <c r="A563" s="396" t="s">
        <v>272</v>
      </c>
      <c r="B563" s="16">
        <v>906</v>
      </c>
      <c r="C563" s="20" t="s">
        <v>264</v>
      </c>
      <c r="D563" s="20" t="s">
        <v>118</v>
      </c>
      <c r="E563" s="20" t="s">
        <v>1232</v>
      </c>
      <c r="F563" s="20" t="s">
        <v>273</v>
      </c>
      <c r="G563" s="397">
        <f>G564</f>
        <v>1629.3</v>
      </c>
      <c r="H563" s="397">
        <f>H564</f>
        <v>1629.3</v>
      </c>
      <c r="I563" s="192"/>
    </row>
    <row r="564" spans="1:9" ht="15.75" x14ac:dyDescent="0.25">
      <c r="A564" s="396" t="s">
        <v>274</v>
      </c>
      <c r="B564" s="16">
        <v>906</v>
      </c>
      <c r="C564" s="20" t="s">
        <v>264</v>
      </c>
      <c r="D564" s="20" t="s">
        <v>118</v>
      </c>
      <c r="E564" s="20" t="s">
        <v>1232</v>
      </c>
      <c r="F564" s="20" t="s">
        <v>275</v>
      </c>
      <c r="G564" s="397">
        <f>1629.3</f>
        <v>1629.3</v>
      </c>
      <c r="H564" s="397">
        <f t="shared" si="45"/>
        <v>1629.3</v>
      </c>
      <c r="I564" s="192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1233</v>
      </c>
      <c r="F565" s="20"/>
      <c r="G565" s="397">
        <f>G566</f>
        <v>70113.2</v>
      </c>
      <c r="H565" s="397">
        <f>H566</f>
        <v>74475.8</v>
      </c>
      <c r="I565" s="192"/>
    </row>
    <row r="566" spans="1:9" ht="31.5" x14ac:dyDescent="0.25">
      <c r="A566" s="396" t="s">
        <v>272</v>
      </c>
      <c r="B566" s="16">
        <v>906</v>
      </c>
      <c r="C566" s="20" t="s">
        <v>264</v>
      </c>
      <c r="D566" s="20" t="s">
        <v>118</v>
      </c>
      <c r="E566" s="20" t="s">
        <v>1233</v>
      </c>
      <c r="F566" s="20" t="s">
        <v>273</v>
      </c>
      <c r="G566" s="397">
        <f>G567</f>
        <v>70113.2</v>
      </c>
      <c r="H566" s="397">
        <f>H567</f>
        <v>74475.8</v>
      </c>
      <c r="I566" s="192"/>
    </row>
    <row r="567" spans="1:9" ht="15.75" x14ac:dyDescent="0.25">
      <c r="A567" s="396" t="s">
        <v>274</v>
      </c>
      <c r="B567" s="16">
        <v>906</v>
      </c>
      <c r="C567" s="20" t="s">
        <v>264</v>
      </c>
      <c r="D567" s="20" t="s">
        <v>118</v>
      </c>
      <c r="E567" s="20" t="s">
        <v>1233</v>
      </c>
      <c r="F567" s="20" t="s">
        <v>275</v>
      </c>
      <c r="G567" s="397">
        <v>70113.2</v>
      </c>
      <c r="H567" s="397">
        <v>74475.8</v>
      </c>
      <c r="I567" s="192"/>
    </row>
    <row r="568" spans="1:9" ht="31.5" x14ac:dyDescent="0.25">
      <c r="A568" s="394" t="s">
        <v>1290</v>
      </c>
      <c r="B568" s="19">
        <v>906</v>
      </c>
      <c r="C568" s="24" t="s">
        <v>264</v>
      </c>
      <c r="D568" s="24" t="s">
        <v>118</v>
      </c>
      <c r="E568" s="24" t="s">
        <v>1235</v>
      </c>
      <c r="F568" s="24"/>
      <c r="G568" s="393">
        <f>G569+G572+G575</f>
        <v>4430</v>
      </c>
      <c r="H568" s="393">
        <f>H569+H572+H575</f>
        <v>4430</v>
      </c>
      <c r="I568" s="192"/>
    </row>
    <row r="569" spans="1:9" ht="31.5" hidden="1" x14ac:dyDescent="0.25">
      <c r="A569" s="396" t="s">
        <v>278</v>
      </c>
      <c r="B569" s="16">
        <v>906</v>
      </c>
      <c r="C569" s="20" t="s">
        <v>264</v>
      </c>
      <c r="D569" s="20" t="s">
        <v>118</v>
      </c>
      <c r="E569" s="20" t="s">
        <v>1316</v>
      </c>
      <c r="F569" s="20"/>
      <c r="G569" s="397">
        <f>G570</f>
        <v>0</v>
      </c>
      <c r="H569" s="397">
        <f t="shared" si="45"/>
        <v>0</v>
      </c>
      <c r="I569" s="192"/>
    </row>
    <row r="570" spans="1:9" ht="31.5" hidden="1" x14ac:dyDescent="0.25">
      <c r="A570" s="396" t="s">
        <v>272</v>
      </c>
      <c r="B570" s="16">
        <v>906</v>
      </c>
      <c r="C570" s="20" t="s">
        <v>264</v>
      </c>
      <c r="D570" s="20" t="s">
        <v>118</v>
      </c>
      <c r="E570" s="20" t="s">
        <v>1316</v>
      </c>
      <c r="F570" s="20" t="s">
        <v>273</v>
      </c>
      <c r="G570" s="397">
        <f>G571</f>
        <v>0</v>
      </c>
      <c r="H570" s="397">
        <f t="shared" ref="H570:H630" si="52">G570</f>
        <v>0</v>
      </c>
      <c r="I570" s="192"/>
    </row>
    <row r="571" spans="1:9" ht="15.75" hidden="1" x14ac:dyDescent="0.25">
      <c r="A571" s="396" t="s">
        <v>274</v>
      </c>
      <c r="B571" s="16">
        <v>906</v>
      </c>
      <c r="C571" s="20" t="s">
        <v>264</v>
      </c>
      <c r="D571" s="20" t="s">
        <v>118</v>
      </c>
      <c r="E571" s="20" t="s">
        <v>1316</v>
      </c>
      <c r="F571" s="20" t="s">
        <v>275</v>
      </c>
      <c r="G571" s="397"/>
      <c r="H571" s="397"/>
      <c r="I571" s="192"/>
    </row>
    <row r="572" spans="1:9" ht="31.5" hidden="1" x14ac:dyDescent="0.25">
      <c r="A572" s="396" t="s">
        <v>280</v>
      </c>
      <c r="B572" s="16">
        <v>906</v>
      </c>
      <c r="C572" s="20" t="s">
        <v>264</v>
      </c>
      <c r="D572" s="20" t="s">
        <v>118</v>
      </c>
      <c r="E572" s="20" t="s">
        <v>1317</v>
      </c>
      <c r="F572" s="20"/>
      <c r="G572" s="397">
        <f>G573</f>
        <v>0</v>
      </c>
      <c r="H572" s="397">
        <f t="shared" si="52"/>
        <v>0</v>
      </c>
      <c r="I572" s="192"/>
    </row>
    <row r="573" spans="1:9" ht="31.5" hidden="1" x14ac:dyDescent="0.25">
      <c r="A573" s="396" t="s">
        <v>272</v>
      </c>
      <c r="B573" s="16">
        <v>906</v>
      </c>
      <c r="C573" s="20" t="s">
        <v>264</v>
      </c>
      <c r="D573" s="20" t="s">
        <v>118</v>
      </c>
      <c r="E573" s="20" t="s">
        <v>1317</v>
      </c>
      <c r="F573" s="20" t="s">
        <v>273</v>
      </c>
      <c r="G573" s="397">
        <f>G574</f>
        <v>0</v>
      </c>
      <c r="H573" s="397">
        <f t="shared" si="52"/>
        <v>0</v>
      </c>
      <c r="I573" s="192"/>
    </row>
    <row r="574" spans="1:9" ht="15.75" hidden="1" x14ac:dyDescent="0.25">
      <c r="A574" s="396" t="s">
        <v>274</v>
      </c>
      <c r="B574" s="16">
        <v>906</v>
      </c>
      <c r="C574" s="20" t="s">
        <v>264</v>
      </c>
      <c r="D574" s="20" t="s">
        <v>118</v>
      </c>
      <c r="E574" s="20" t="s">
        <v>1317</v>
      </c>
      <c r="F574" s="20" t="s">
        <v>275</v>
      </c>
      <c r="G574" s="397"/>
      <c r="H574" s="397"/>
      <c r="I574" s="192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1236</v>
      </c>
      <c r="F575" s="20"/>
      <c r="G575" s="397">
        <f>G576</f>
        <v>4430</v>
      </c>
      <c r="H575" s="397">
        <f>H576</f>
        <v>4430</v>
      </c>
      <c r="I575" s="192"/>
    </row>
    <row r="576" spans="1:9" ht="31.5" x14ac:dyDescent="0.25">
      <c r="A576" s="396" t="s">
        <v>272</v>
      </c>
      <c r="B576" s="16">
        <v>906</v>
      </c>
      <c r="C576" s="20" t="s">
        <v>264</v>
      </c>
      <c r="D576" s="20" t="s">
        <v>118</v>
      </c>
      <c r="E576" s="20" t="s">
        <v>1236</v>
      </c>
      <c r="F576" s="20" t="s">
        <v>273</v>
      </c>
      <c r="G576" s="397">
        <f>G577</f>
        <v>4430</v>
      </c>
      <c r="H576" s="397">
        <f>H577</f>
        <v>4430</v>
      </c>
      <c r="I576" s="192"/>
    </row>
    <row r="577" spans="1:9" ht="15.75" x14ac:dyDescent="0.25">
      <c r="A577" s="396" t="s">
        <v>274</v>
      </c>
      <c r="B577" s="16">
        <v>906</v>
      </c>
      <c r="C577" s="20" t="s">
        <v>264</v>
      </c>
      <c r="D577" s="20" t="s">
        <v>118</v>
      </c>
      <c r="E577" s="20" t="s">
        <v>1236</v>
      </c>
      <c r="F577" s="20" t="s">
        <v>275</v>
      </c>
      <c r="G577" s="397">
        <f>4430</f>
        <v>4430</v>
      </c>
      <c r="H577" s="397">
        <f t="shared" si="52"/>
        <v>4430</v>
      </c>
      <c r="I577" s="192"/>
    </row>
    <row r="578" spans="1:9" ht="31.5" x14ac:dyDescent="0.25">
      <c r="A578" s="203" t="s">
        <v>947</v>
      </c>
      <c r="B578" s="19">
        <v>906</v>
      </c>
      <c r="C578" s="24" t="s">
        <v>264</v>
      </c>
      <c r="D578" s="24" t="s">
        <v>118</v>
      </c>
      <c r="E578" s="24" t="s">
        <v>1238</v>
      </c>
      <c r="F578" s="24"/>
      <c r="G578" s="44">
        <f>G579+G582+G585</f>
        <v>4848</v>
      </c>
      <c r="H578" s="44">
        <f>H579+H582+H585</f>
        <v>4848</v>
      </c>
      <c r="I578" s="192"/>
    </row>
    <row r="579" spans="1:9" ht="31.5" hidden="1" x14ac:dyDescent="0.25">
      <c r="A579" s="396" t="s">
        <v>284</v>
      </c>
      <c r="B579" s="16">
        <v>906</v>
      </c>
      <c r="C579" s="20" t="s">
        <v>264</v>
      </c>
      <c r="D579" s="20" t="s">
        <v>118</v>
      </c>
      <c r="E579" s="20" t="s">
        <v>1256</v>
      </c>
      <c r="F579" s="20"/>
      <c r="G579" s="397">
        <f>'Пр.4 ведом.21'!G660</f>
        <v>0</v>
      </c>
      <c r="H579" s="397">
        <f t="shared" si="52"/>
        <v>0</v>
      </c>
      <c r="I579" s="192"/>
    </row>
    <row r="580" spans="1:9" ht="31.5" hidden="1" x14ac:dyDescent="0.25">
      <c r="A580" s="396" t="s">
        <v>272</v>
      </c>
      <c r="B580" s="16">
        <v>906</v>
      </c>
      <c r="C580" s="20" t="s">
        <v>264</v>
      </c>
      <c r="D580" s="20" t="s">
        <v>118</v>
      </c>
      <c r="E580" s="20" t="s">
        <v>1256</v>
      </c>
      <c r="F580" s="20" t="s">
        <v>273</v>
      </c>
      <c r="G580" s="397">
        <f>'Пр.4 ведом.21'!G661</f>
        <v>0</v>
      </c>
      <c r="H580" s="397">
        <f t="shared" si="52"/>
        <v>0</v>
      </c>
      <c r="I580" s="192"/>
    </row>
    <row r="581" spans="1:9" ht="15.75" hidden="1" x14ac:dyDescent="0.25">
      <c r="A581" s="396" t="s">
        <v>274</v>
      </c>
      <c r="B581" s="16">
        <v>906</v>
      </c>
      <c r="C581" s="20" t="s">
        <v>264</v>
      </c>
      <c r="D581" s="20" t="s">
        <v>118</v>
      </c>
      <c r="E581" s="20" t="s">
        <v>1256</v>
      </c>
      <c r="F581" s="20" t="s">
        <v>275</v>
      </c>
      <c r="G581" s="397">
        <f>'Пр.4 ведом.21'!G662</f>
        <v>0</v>
      </c>
      <c r="H581" s="397">
        <f t="shared" si="52"/>
        <v>0</v>
      </c>
      <c r="I581" s="192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1239</v>
      </c>
      <c r="F582" s="20"/>
      <c r="G582" s="397">
        <f>G583</f>
        <v>3088</v>
      </c>
      <c r="H582" s="397">
        <f>H583</f>
        <v>3088</v>
      </c>
      <c r="I582" s="192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1239</v>
      </c>
      <c r="F583" s="20" t="s">
        <v>273</v>
      </c>
      <c r="G583" s="397">
        <f>G584</f>
        <v>3088</v>
      </c>
      <c r="H583" s="397">
        <f>H584</f>
        <v>3088</v>
      </c>
      <c r="I583" s="192"/>
    </row>
    <row r="584" spans="1:9" ht="15.75" x14ac:dyDescent="0.25">
      <c r="A584" s="180" t="s">
        <v>274</v>
      </c>
      <c r="B584" s="16">
        <v>906</v>
      </c>
      <c r="C584" s="20" t="s">
        <v>264</v>
      </c>
      <c r="D584" s="20" t="s">
        <v>118</v>
      </c>
      <c r="E584" s="20" t="s">
        <v>1239</v>
      </c>
      <c r="F584" s="20" t="s">
        <v>275</v>
      </c>
      <c r="G584" s="397">
        <v>3088</v>
      </c>
      <c r="H584" s="397">
        <f t="shared" si="52"/>
        <v>3088</v>
      </c>
      <c r="I584" s="192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1240</v>
      </c>
      <c r="F585" s="20"/>
      <c r="G585" s="397">
        <f>G586</f>
        <v>1760</v>
      </c>
      <c r="H585" s="397">
        <f>H586</f>
        <v>1760</v>
      </c>
      <c r="I585" s="192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1240</v>
      </c>
      <c r="F586" s="20" t="s">
        <v>273</v>
      </c>
      <c r="G586" s="397">
        <f>G587</f>
        <v>1760</v>
      </c>
      <c r="H586" s="397">
        <f>H587</f>
        <v>1760</v>
      </c>
      <c r="I586" s="192"/>
    </row>
    <row r="587" spans="1:9" ht="15.75" x14ac:dyDescent="0.25">
      <c r="A587" s="180" t="s">
        <v>274</v>
      </c>
      <c r="B587" s="16">
        <v>906</v>
      </c>
      <c r="C587" s="20" t="s">
        <v>264</v>
      </c>
      <c r="D587" s="20" t="s">
        <v>118</v>
      </c>
      <c r="E587" s="20" t="s">
        <v>1240</v>
      </c>
      <c r="F587" s="20" t="s">
        <v>275</v>
      </c>
      <c r="G587" s="397">
        <f>1760</f>
        <v>1760</v>
      </c>
      <c r="H587" s="397">
        <f t="shared" si="52"/>
        <v>1760</v>
      </c>
      <c r="I587" s="192"/>
    </row>
    <row r="588" spans="1:9" ht="63" x14ac:dyDescent="0.25">
      <c r="A588" s="394" t="s">
        <v>932</v>
      </c>
      <c r="B588" s="19">
        <v>906</v>
      </c>
      <c r="C588" s="24" t="s">
        <v>264</v>
      </c>
      <c r="D588" s="24" t="s">
        <v>118</v>
      </c>
      <c r="E588" s="24" t="s">
        <v>1241</v>
      </c>
      <c r="F588" s="24"/>
      <c r="G588" s="393">
        <f t="shared" ref="G588:H590" si="53">G589</f>
        <v>297.70000000000005</v>
      </c>
      <c r="H588" s="393">
        <f t="shared" si="53"/>
        <v>297.70000000000005</v>
      </c>
      <c r="I588" s="192"/>
    </row>
    <row r="589" spans="1:9" ht="115.5" customHeight="1" x14ac:dyDescent="0.25">
      <c r="A589" s="396" t="s">
        <v>1491</v>
      </c>
      <c r="B589" s="16">
        <v>906</v>
      </c>
      <c r="C589" s="20" t="s">
        <v>264</v>
      </c>
      <c r="D589" s="20" t="s">
        <v>118</v>
      </c>
      <c r="E589" s="20" t="s">
        <v>1242</v>
      </c>
      <c r="F589" s="20"/>
      <c r="G589" s="397">
        <f t="shared" si="53"/>
        <v>297.70000000000005</v>
      </c>
      <c r="H589" s="397">
        <f t="shared" si="53"/>
        <v>297.70000000000005</v>
      </c>
      <c r="I589" s="192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1242</v>
      </c>
      <c r="F590" s="20" t="s">
        <v>273</v>
      </c>
      <c r="G590" s="397">
        <f t="shared" si="53"/>
        <v>297.70000000000005</v>
      </c>
      <c r="H590" s="397">
        <f t="shared" si="53"/>
        <v>297.70000000000005</v>
      </c>
      <c r="I590" s="192"/>
    </row>
    <row r="591" spans="1:9" ht="15.75" x14ac:dyDescent="0.25">
      <c r="A591" s="180" t="s">
        <v>274</v>
      </c>
      <c r="B591" s="16">
        <v>906</v>
      </c>
      <c r="C591" s="20" t="s">
        <v>264</v>
      </c>
      <c r="D591" s="20" t="s">
        <v>118</v>
      </c>
      <c r="E591" s="20" t="s">
        <v>1242</v>
      </c>
      <c r="F591" s="20" t="s">
        <v>275</v>
      </c>
      <c r="G591" s="397">
        <f>124.4+173.3</f>
        <v>297.70000000000005</v>
      </c>
      <c r="H591" s="397">
        <f t="shared" si="52"/>
        <v>297.70000000000005</v>
      </c>
      <c r="I591" s="192"/>
    </row>
    <row r="592" spans="1:9" s="191" customFormat="1" ht="94.5" x14ac:dyDescent="0.25">
      <c r="A592" s="394" t="s">
        <v>1164</v>
      </c>
      <c r="B592" s="19">
        <v>906</v>
      </c>
      <c r="C592" s="24" t="s">
        <v>264</v>
      </c>
      <c r="D592" s="24" t="s">
        <v>118</v>
      </c>
      <c r="E592" s="24" t="s">
        <v>1244</v>
      </c>
      <c r="F592" s="24"/>
      <c r="G592" s="393">
        <f>G593+G596</f>
        <v>1666.6</v>
      </c>
      <c r="H592" s="393">
        <f>H593+H596</f>
        <v>915</v>
      </c>
      <c r="I592" s="192"/>
    </row>
    <row r="593" spans="1:9" s="191" customFormat="1" ht="94.5" hidden="1" x14ac:dyDescent="0.25">
      <c r="A593" s="148" t="s">
        <v>1183</v>
      </c>
      <c r="B593" s="16">
        <v>906</v>
      </c>
      <c r="C593" s="20" t="s">
        <v>264</v>
      </c>
      <c r="D593" s="20" t="s">
        <v>118</v>
      </c>
      <c r="E593" s="20" t="s">
        <v>1245</v>
      </c>
      <c r="F593" s="20"/>
      <c r="G593" s="397">
        <f>G594</f>
        <v>0</v>
      </c>
      <c r="H593" s="397">
        <f>H594</f>
        <v>0</v>
      </c>
      <c r="I593" s="192"/>
    </row>
    <row r="594" spans="1:9" s="191" customFormat="1" ht="31.5" hidden="1" x14ac:dyDescent="0.25">
      <c r="A594" s="396" t="s">
        <v>272</v>
      </c>
      <c r="B594" s="16">
        <v>906</v>
      </c>
      <c r="C594" s="20" t="s">
        <v>264</v>
      </c>
      <c r="D594" s="20" t="s">
        <v>118</v>
      </c>
      <c r="E594" s="20" t="s">
        <v>1245</v>
      </c>
      <c r="F594" s="20" t="s">
        <v>273</v>
      </c>
      <c r="G594" s="397">
        <f>G595</f>
        <v>0</v>
      </c>
      <c r="H594" s="397">
        <f>H595</f>
        <v>0</v>
      </c>
      <c r="I594" s="192"/>
    </row>
    <row r="595" spans="1:9" s="191" customFormat="1" ht="15.75" hidden="1" x14ac:dyDescent="0.25">
      <c r="A595" s="396" t="s">
        <v>274</v>
      </c>
      <c r="B595" s="16">
        <v>906</v>
      </c>
      <c r="C595" s="20" t="s">
        <v>264</v>
      </c>
      <c r="D595" s="20" t="s">
        <v>118</v>
      </c>
      <c r="E595" s="20" t="s">
        <v>1245</v>
      </c>
      <c r="F595" s="20" t="s">
        <v>275</v>
      </c>
      <c r="G595" s="397">
        <v>0</v>
      </c>
      <c r="H595" s="397">
        <v>0</v>
      </c>
      <c r="I595" s="192"/>
    </row>
    <row r="596" spans="1:9" s="191" customFormat="1" ht="96.4" customHeight="1" x14ac:dyDescent="0.25">
      <c r="A596" s="148" t="s">
        <v>1474</v>
      </c>
      <c r="B596" s="16">
        <v>906</v>
      </c>
      <c r="C596" s="20" t="s">
        <v>264</v>
      </c>
      <c r="D596" s="20" t="s">
        <v>118</v>
      </c>
      <c r="E596" s="20" t="s">
        <v>1245</v>
      </c>
      <c r="F596" s="20"/>
      <c r="G596" s="397">
        <f>G597</f>
        <v>1666.6</v>
      </c>
      <c r="H596" s="397">
        <f>H597</f>
        <v>915</v>
      </c>
      <c r="I596" s="192"/>
    </row>
    <row r="597" spans="1:9" s="191" customFormat="1" ht="31.5" x14ac:dyDescent="0.25">
      <c r="A597" s="396" t="s">
        <v>272</v>
      </c>
      <c r="B597" s="16">
        <v>906</v>
      </c>
      <c r="C597" s="20" t="s">
        <v>264</v>
      </c>
      <c r="D597" s="20" t="s">
        <v>118</v>
      </c>
      <c r="E597" s="20" t="s">
        <v>1245</v>
      </c>
      <c r="F597" s="20" t="s">
        <v>273</v>
      </c>
      <c r="G597" s="397">
        <f>G598</f>
        <v>1666.6</v>
      </c>
      <c r="H597" s="397">
        <f>H598</f>
        <v>915</v>
      </c>
      <c r="I597" s="192"/>
    </row>
    <row r="598" spans="1:9" s="191" customFormat="1" ht="15.75" x14ac:dyDescent="0.25">
      <c r="A598" s="396" t="s">
        <v>274</v>
      </c>
      <c r="B598" s="16">
        <v>906</v>
      </c>
      <c r="C598" s="20" t="s">
        <v>264</v>
      </c>
      <c r="D598" s="20" t="s">
        <v>118</v>
      </c>
      <c r="E598" s="20" t="s">
        <v>1245</v>
      </c>
      <c r="F598" s="20" t="s">
        <v>275</v>
      </c>
      <c r="G598" s="397">
        <f>1666.6</f>
        <v>1666.6</v>
      </c>
      <c r="H598" s="397">
        <v>915</v>
      </c>
      <c r="I598" s="192"/>
    </row>
    <row r="599" spans="1:9" s="191" customFormat="1" ht="47.25" x14ac:dyDescent="0.25">
      <c r="A599" s="34" t="s">
        <v>1356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393">
        <f t="shared" ref="G599:H602" si="54">G600</f>
        <v>80</v>
      </c>
      <c r="H599" s="393">
        <f t="shared" si="54"/>
        <v>25</v>
      </c>
      <c r="I599" s="192"/>
    </row>
    <row r="600" spans="1:9" s="191" customFormat="1" ht="63" x14ac:dyDescent="0.25">
      <c r="A600" s="34" t="s">
        <v>1008</v>
      </c>
      <c r="B600" s="19">
        <v>906</v>
      </c>
      <c r="C600" s="24" t="s">
        <v>264</v>
      </c>
      <c r="D600" s="24" t="s">
        <v>118</v>
      </c>
      <c r="E600" s="24" t="s">
        <v>933</v>
      </c>
      <c r="F600" s="24"/>
      <c r="G600" s="393">
        <f t="shared" si="54"/>
        <v>80</v>
      </c>
      <c r="H600" s="393">
        <f t="shared" si="54"/>
        <v>25</v>
      </c>
      <c r="I600" s="192"/>
    </row>
    <row r="601" spans="1:9" s="191" customFormat="1" ht="47.25" x14ac:dyDescent="0.25">
      <c r="A601" s="31" t="s">
        <v>1082</v>
      </c>
      <c r="B601" s="16">
        <v>906</v>
      </c>
      <c r="C601" s="20" t="s">
        <v>264</v>
      </c>
      <c r="D601" s="20" t="s">
        <v>118</v>
      </c>
      <c r="E601" s="20" t="s">
        <v>934</v>
      </c>
      <c r="F601" s="20"/>
      <c r="G601" s="397">
        <f t="shared" si="54"/>
        <v>80</v>
      </c>
      <c r="H601" s="397">
        <f t="shared" si="54"/>
        <v>25</v>
      </c>
      <c r="I601" s="192"/>
    </row>
    <row r="602" spans="1:9" s="191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934</v>
      </c>
      <c r="F602" s="20" t="s">
        <v>273</v>
      </c>
      <c r="G602" s="397">
        <f t="shared" si="54"/>
        <v>80</v>
      </c>
      <c r="H602" s="397">
        <f t="shared" si="54"/>
        <v>25</v>
      </c>
      <c r="I602" s="192"/>
    </row>
    <row r="603" spans="1:9" s="191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934</v>
      </c>
      <c r="F603" s="20" t="s">
        <v>275</v>
      </c>
      <c r="G603" s="397">
        <v>80</v>
      </c>
      <c r="H603" s="397">
        <v>25</v>
      </c>
      <c r="I603" s="192"/>
    </row>
    <row r="604" spans="1:9" ht="47.25" x14ac:dyDescent="0.25">
      <c r="A604" s="400" t="s">
        <v>1351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06"/>
      <c r="G604" s="393">
        <f>G606</f>
        <v>570.9</v>
      </c>
      <c r="H604" s="393">
        <f>H606</f>
        <v>593.79999999999995</v>
      </c>
      <c r="I604" s="192"/>
    </row>
    <row r="605" spans="1:9" ht="47.25" x14ac:dyDescent="0.25">
      <c r="A605" s="400" t="s">
        <v>889</v>
      </c>
      <c r="B605" s="19">
        <v>906</v>
      </c>
      <c r="C605" s="24" t="s">
        <v>264</v>
      </c>
      <c r="D605" s="24" t="s">
        <v>118</v>
      </c>
      <c r="E605" s="24" t="s">
        <v>887</v>
      </c>
      <c r="F605" s="206"/>
      <c r="G605" s="393">
        <f t="shared" ref="G605:H607" si="55">G606</f>
        <v>570.9</v>
      </c>
      <c r="H605" s="393">
        <f t="shared" si="55"/>
        <v>593.79999999999995</v>
      </c>
      <c r="I605" s="192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935</v>
      </c>
      <c r="F606" s="32"/>
      <c r="G606" s="397">
        <f t="shared" si="55"/>
        <v>570.9</v>
      </c>
      <c r="H606" s="397">
        <f t="shared" si="55"/>
        <v>593.79999999999995</v>
      </c>
      <c r="I606" s="192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935</v>
      </c>
      <c r="F607" s="32" t="s">
        <v>273</v>
      </c>
      <c r="G607" s="397">
        <f t="shared" si="55"/>
        <v>570.9</v>
      </c>
      <c r="H607" s="397">
        <f t="shared" si="55"/>
        <v>593.79999999999995</v>
      </c>
      <c r="I607" s="192"/>
    </row>
    <row r="608" spans="1:9" ht="15.75" x14ac:dyDescent="0.25">
      <c r="A608" s="180" t="s">
        <v>274</v>
      </c>
      <c r="B608" s="16">
        <v>906</v>
      </c>
      <c r="C608" s="20" t="s">
        <v>264</v>
      </c>
      <c r="D608" s="20" t="s">
        <v>118</v>
      </c>
      <c r="E608" s="20" t="s">
        <v>935</v>
      </c>
      <c r="F608" s="32" t="s">
        <v>275</v>
      </c>
      <c r="G608" s="397">
        <v>570.9</v>
      </c>
      <c r="H608" s="397">
        <v>593.79999999999995</v>
      </c>
      <c r="I608" s="192"/>
    </row>
    <row r="609" spans="1:13" ht="15.75" x14ac:dyDescent="0.25">
      <c r="A609" s="394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393">
        <f>G610+G686+G681</f>
        <v>177341.49999999997</v>
      </c>
      <c r="H609" s="393">
        <f>H610+H686+H681</f>
        <v>196805.15000000002</v>
      </c>
      <c r="I609" s="192"/>
      <c r="M609" s="216"/>
    </row>
    <row r="610" spans="1:13" ht="31.5" x14ac:dyDescent="0.25">
      <c r="A610" s="394" t="s">
        <v>1355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393">
        <f>G611+G615+G634+G647+G654+G658+G662+G673+G669+G677</f>
        <v>176410.99999999997</v>
      </c>
      <c r="H610" s="393">
        <f>H611+H615+H634+H647+H654+H658+H662+H673+H669+H677</f>
        <v>195829.85000000003</v>
      </c>
      <c r="I610" s="192"/>
    </row>
    <row r="611" spans="1:13" ht="31.5" x14ac:dyDescent="0.25">
      <c r="A611" s="394" t="s">
        <v>936</v>
      </c>
      <c r="B611" s="19">
        <v>906</v>
      </c>
      <c r="C611" s="24" t="s">
        <v>264</v>
      </c>
      <c r="D611" s="24" t="s">
        <v>213</v>
      </c>
      <c r="E611" s="24" t="s">
        <v>1228</v>
      </c>
      <c r="F611" s="24"/>
      <c r="G611" s="393">
        <f t="shared" ref="G611:H613" si="56">G612</f>
        <v>28690.799999999999</v>
      </c>
      <c r="H611" s="393">
        <f t="shared" si="56"/>
        <v>28690.799999999999</v>
      </c>
      <c r="I611" s="192"/>
    </row>
    <row r="612" spans="1:13" ht="47.25" x14ac:dyDescent="0.25">
      <c r="A612" s="396" t="s">
        <v>427</v>
      </c>
      <c r="B612" s="16">
        <v>906</v>
      </c>
      <c r="C612" s="20" t="s">
        <v>264</v>
      </c>
      <c r="D612" s="20" t="s">
        <v>213</v>
      </c>
      <c r="E612" s="20" t="s">
        <v>1247</v>
      </c>
      <c r="F612" s="20"/>
      <c r="G612" s="397">
        <f t="shared" si="56"/>
        <v>28690.799999999999</v>
      </c>
      <c r="H612" s="397">
        <f t="shared" si="56"/>
        <v>28690.799999999999</v>
      </c>
      <c r="I612" s="192"/>
    </row>
    <row r="613" spans="1:13" ht="31.5" x14ac:dyDescent="0.25">
      <c r="A613" s="396" t="s">
        <v>272</v>
      </c>
      <c r="B613" s="16">
        <v>906</v>
      </c>
      <c r="C613" s="20" t="s">
        <v>264</v>
      </c>
      <c r="D613" s="20" t="s">
        <v>213</v>
      </c>
      <c r="E613" s="20" t="s">
        <v>1247</v>
      </c>
      <c r="F613" s="20" t="s">
        <v>273</v>
      </c>
      <c r="G613" s="397">
        <f t="shared" si="56"/>
        <v>28690.799999999999</v>
      </c>
      <c r="H613" s="397">
        <f t="shared" si="56"/>
        <v>28690.799999999999</v>
      </c>
      <c r="I613" s="192"/>
    </row>
    <row r="614" spans="1:13" ht="15.75" x14ac:dyDescent="0.25">
      <c r="A614" s="396" t="s">
        <v>274</v>
      </c>
      <c r="B614" s="16">
        <v>906</v>
      </c>
      <c r="C614" s="20" t="s">
        <v>264</v>
      </c>
      <c r="D614" s="20" t="s">
        <v>213</v>
      </c>
      <c r="E614" s="20" t="s">
        <v>1247</v>
      </c>
      <c r="F614" s="20" t="s">
        <v>275</v>
      </c>
      <c r="G614" s="397">
        <v>28690.799999999999</v>
      </c>
      <c r="H614" s="397">
        <f t="shared" si="52"/>
        <v>28690.799999999999</v>
      </c>
      <c r="I614" s="192"/>
    </row>
    <row r="615" spans="1:13" ht="47.25" x14ac:dyDescent="0.25">
      <c r="A615" s="394" t="s">
        <v>899</v>
      </c>
      <c r="B615" s="19">
        <v>906</v>
      </c>
      <c r="C615" s="24" t="s">
        <v>264</v>
      </c>
      <c r="D615" s="24" t="s">
        <v>213</v>
      </c>
      <c r="E615" s="24" t="s">
        <v>1230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192"/>
      <c r="L615" s="216"/>
    </row>
    <row r="616" spans="1:13" s="191" customFormat="1" ht="63" x14ac:dyDescent="0.25">
      <c r="A616" s="396" t="s">
        <v>1391</v>
      </c>
      <c r="B616" s="16">
        <v>906</v>
      </c>
      <c r="C616" s="20" t="s">
        <v>264</v>
      </c>
      <c r="D616" s="20" t="s">
        <v>213</v>
      </c>
      <c r="E616" s="20" t="s">
        <v>1392</v>
      </c>
      <c r="F616" s="20"/>
      <c r="G616" s="27">
        <f>G617</f>
        <v>7226.1</v>
      </c>
      <c r="H616" s="27">
        <f>H617</f>
        <v>7226.1</v>
      </c>
      <c r="I616" s="192"/>
    </row>
    <row r="617" spans="1:13" s="191" customFormat="1" ht="31.5" x14ac:dyDescent="0.25">
      <c r="A617" s="396" t="s">
        <v>272</v>
      </c>
      <c r="B617" s="16">
        <v>906</v>
      </c>
      <c r="C617" s="20" t="s">
        <v>264</v>
      </c>
      <c r="D617" s="20" t="s">
        <v>213</v>
      </c>
      <c r="E617" s="20" t="s">
        <v>1392</v>
      </c>
      <c r="F617" s="20" t="s">
        <v>273</v>
      </c>
      <c r="G617" s="27">
        <f>G618</f>
        <v>7226.1</v>
      </c>
      <c r="H617" s="27">
        <f>H618</f>
        <v>7226.1</v>
      </c>
      <c r="I617" s="192"/>
    </row>
    <row r="618" spans="1:13" s="191" customFormat="1" ht="15.75" x14ac:dyDescent="0.25">
      <c r="A618" s="396" t="s">
        <v>274</v>
      </c>
      <c r="B618" s="16">
        <v>906</v>
      </c>
      <c r="C618" s="20" t="s">
        <v>264</v>
      </c>
      <c r="D618" s="20" t="s">
        <v>213</v>
      </c>
      <c r="E618" s="20" t="s">
        <v>1392</v>
      </c>
      <c r="F618" s="20" t="s">
        <v>275</v>
      </c>
      <c r="G618" s="27">
        <v>7226.1</v>
      </c>
      <c r="H618" s="27">
        <v>7226.1</v>
      </c>
      <c r="I618" s="192"/>
    </row>
    <row r="619" spans="1:13" s="191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1389</v>
      </c>
      <c r="F619" s="20"/>
      <c r="G619" s="397">
        <f>G620</f>
        <v>4610</v>
      </c>
      <c r="H619" s="397">
        <f>H620</f>
        <v>4610</v>
      </c>
      <c r="I619" s="192"/>
    </row>
    <row r="620" spans="1:13" s="191" customFormat="1" ht="31.5" x14ac:dyDescent="0.25">
      <c r="A620" s="396" t="s">
        <v>272</v>
      </c>
      <c r="B620" s="16">
        <v>906</v>
      </c>
      <c r="C620" s="20" t="s">
        <v>264</v>
      </c>
      <c r="D620" s="20" t="s">
        <v>213</v>
      </c>
      <c r="E620" s="20" t="s">
        <v>1389</v>
      </c>
      <c r="F620" s="20" t="s">
        <v>273</v>
      </c>
      <c r="G620" s="397">
        <f>G621</f>
        <v>4610</v>
      </c>
      <c r="H620" s="397">
        <f>H621</f>
        <v>4610</v>
      </c>
      <c r="I620" s="192"/>
    </row>
    <row r="621" spans="1:13" s="191" customFormat="1" ht="15.75" x14ac:dyDescent="0.25">
      <c r="A621" s="396" t="s">
        <v>274</v>
      </c>
      <c r="B621" s="16">
        <v>906</v>
      </c>
      <c r="C621" s="20" t="s">
        <v>264</v>
      </c>
      <c r="D621" s="20" t="s">
        <v>213</v>
      </c>
      <c r="E621" s="20" t="s">
        <v>1389</v>
      </c>
      <c r="F621" s="20" t="s">
        <v>275</v>
      </c>
      <c r="G621" s="397">
        <v>4610</v>
      </c>
      <c r="H621" s="397">
        <f>G621</f>
        <v>4610</v>
      </c>
      <c r="I621" s="192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1248</v>
      </c>
      <c r="F622" s="20"/>
      <c r="G622" s="397">
        <f>G623</f>
        <v>115047.8</v>
      </c>
      <c r="H622" s="397">
        <f>H623</f>
        <v>134211.70000000001</v>
      </c>
      <c r="I622" s="192"/>
    </row>
    <row r="623" spans="1:13" ht="31.5" x14ac:dyDescent="0.25">
      <c r="A623" s="396" t="s">
        <v>272</v>
      </c>
      <c r="B623" s="16">
        <v>906</v>
      </c>
      <c r="C623" s="20" t="s">
        <v>264</v>
      </c>
      <c r="D623" s="20" t="s">
        <v>213</v>
      </c>
      <c r="E623" s="20" t="s">
        <v>1248</v>
      </c>
      <c r="F623" s="20" t="s">
        <v>273</v>
      </c>
      <c r="G623" s="397">
        <f>G624</f>
        <v>115047.8</v>
      </c>
      <c r="H623" s="397">
        <f>H624</f>
        <v>134211.70000000001</v>
      </c>
      <c r="I623" s="192"/>
    </row>
    <row r="624" spans="1:13" ht="15.75" x14ac:dyDescent="0.25">
      <c r="A624" s="396" t="s">
        <v>274</v>
      </c>
      <c r="B624" s="16">
        <v>906</v>
      </c>
      <c r="C624" s="20" t="s">
        <v>264</v>
      </c>
      <c r="D624" s="20" t="s">
        <v>213</v>
      </c>
      <c r="E624" s="20" t="s">
        <v>1248</v>
      </c>
      <c r="F624" s="20" t="s">
        <v>275</v>
      </c>
      <c r="G624" s="397">
        <v>115047.8</v>
      </c>
      <c r="H624" s="397">
        <v>134211.70000000001</v>
      </c>
      <c r="I624" s="192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1231</v>
      </c>
      <c r="F625" s="20"/>
      <c r="G625" s="397">
        <f>G626</f>
        <v>1311</v>
      </c>
      <c r="H625" s="397">
        <f>H626</f>
        <v>1311</v>
      </c>
      <c r="I625" s="192"/>
    </row>
    <row r="626" spans="1:9" ht="31.5" x14ac:dyDescent="0.25">
      <c r="A626" s="396" t="s">
        <v>272</v>
      </c>
      <c r="B626" s="16">
        <v>906</v>
      </c>
      <c r="C626" s="20" t="s">
        <v>264</v>
      </c>
      <c r="D626" s="20" t="s">
        <v>213</v>
      </c>
      <c r="E626" s="20" t="s">
        <v>1231</v>
      </c>
      <c r="F626" s="20" t="s">
        <v>273</v>
      </c>
      <c r="G626" s="397">
        <f>G627</f>
        <v>1311</v>
      </c>
      <c r="H626" s="397">
        <f>H627</f>
        <v>1311</v>
      </c>
      <c r="I626" s="192"/>
    </row>
    <row r="627" spans="1:9" ht="15.75" x14ac:dyDescent="0.25">
      <c r="A627" s="396" t="s">
        <v>274</v>
      </c>
      <c r="B627" s="16">
        <v>906</v>
      </c>
      <c r="C627" s="20" t="s">
        <v>264</v>
      </c>
      <c r="D627" s="20" t="s">
        <v>213</v>
      </c>
      <c r="E627" s="20" t="s">
        <v>1231</v>
      </c>
      <c r="F627" s="20" t="s">
        <v>275</v>
      </c>
      <c r="G627" s="397">
        <v>1311</v>
      </c>
      <c r="H627" s="397">
        <f t="shared" si="52"/>
        <v>1311</v>
      </c>
      <c r="I627" s="192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1232</v>
      </c>
      <c r="F628" s="20"/>
      <c r="G628" s="397">
        <f>G629</f>
        <v>2266.6999999999998</v>
      </c>
      <c r="H628" s="397">
        <f>H629</f>
        <v>2266.6999999999998</v>
      </c>
      <c r="I628" s="192"/>
    </row>
    <row r="629" spans="1:9" ht="31.5" x14ac:dyDescent="0.25">
      <c r="A629" s="396" t="s">
        <v>272</v>
      </c>
      <c r="B629" s="16">
        <v>906</v>
      </c>
      <c r="C629" s="20" t="s">
        <v>264</v>
      </c>
      <c r="D629" s="20" t="s">
        <v>213</v>
      </c>
      <c r="E629" s="20" t="s">
        <v>1232</v>
      </c>
      <c r="F629" s="20" t="s">
        <v>273</v>
      </c>
      <c r="G629" s="397">
        <f>G630</f>
        <v>2266.6999999999998</v>
      </c>
      <c r="H629" s="397">
        <f>H630</f>
        <v>2266.6999999999998</v>
      </c>
      <c r="I629" s="192"/>
    </row>
    <row r="630" spans="1:9" ht="15.75" x14ac:dyDescent="0.25">
      <c r="A630" s="396" t="s">
        <v>274</v>
      </c>
      <c r="B630" s="16">
        <v>906</v>
      </c>
      <c r="C630" s="20" t="s">
        <v>264</v>
      </c>
      <c r="D630" s="20" t="s">
        <v>213</v>
      </c>
      <c r="E630" s="20" t="s">
        <v>1232</v>
      </c>
      <c r="F630" s="20" t="s">
        <v>275</v>
      </c>
      <c r="G630" s="397">
        <f>2266.7</f>
        <v>2266.6999999999998</v>
      </c>
      <c r="H630" s="397">
        <f t="shared" si="52"/>
        <v>2266.6999999999998</v>
      </c>
      <c r="I630" s="192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1249</v>
      </c>
      <c r="F631" s="20"/>
      <c r="G631" s="397">
        <f>G632</f>
        <v>909.3</v>
      </c>
      <c r="H631" s="397">
        <f>H632</f>
        <v>909.3</v>
      </c>
      <c r="I631" s="192"/>
    </row>
    <row r="632" spans="1:9" ht="31.5" x14ac:dyDescent="0.25">
      <c r="A632" s="396" t="s">
        <v>272</v>
      </c>
      <c r="B632" s="16">
        <v>906</v>
      </c>
      <c r="C632" s="20" t="s">
        <v>264</v>
      </c>
      <c r="D632" s="20" t="s">
        <v>213</v>
      </c>
      <c r="E632" s="20" t="s">
        <v>1249</v>
      </c>
      <c r="F632" s="20" t="s">
        <v>273</v>
      </c>
      <c r="G632" s="397">
        <f>G633</f>
        <v>909.3</v>
      </c>
      <c r="H632" s="397">
        <f>H633</f>
        <v>909.3</v>
      </c>
      <c r="I632" s="192"/>
    </row>
    <row r="633" spans="1:9" ht="15.75" x14ac:dyDescent="0.25">
      <c r="A633" s="396" t="s">
        <v>274</v>
      </c>
      <c r="B633" s="16">
        <v>906</v>
      </c>
      <c r="C633" s="20" t="s">
        <v>264</v>
      </c>
      <c r="D633" s="20" t="s">
        <v>213</v>
      </c>
      <c r="E633" s="20" t="s">
        <v>1249</v>
      </c>
      <c r="F633" s="20" t="s">
        <v>275</v>
      </c>
      <c r="G633" s="397">
        <v>909.3</v>
      </c>
      <c r="H633" s="397">
        <v>909.3</v>
      </c>
      <c r="I633" s="192"/>
    </row>
    <row r="634" spans="1:9" ht="31.5" x14ac:dyDescent="0.25">
      <c r="A634" s="394" t="s">
        <v>1250</v>
      </c>
      <c r="B634" s="236">
        <v>906</v>
      </c>
      <c r="C634" s="24" t="s">
        <v>264</v>
      </c>
      <c r="D634" s="24" t="s">
        <v>213</v>
      </c>
      <c r="E634" s="24" t="s">
        <v>1235</v>
      </c>
      <c r="F634" s="24"/>
      <c r="G634" s="393">
        <f>G635+G638+G641+G644</f>
        <v>224</v>
      </c>
      <c r="H634" s="393">
        <f>H635+H638+H641+H644</f>
        <v>224</v>
      </c>
      <c r="I634" s="192"/>
    </row>
    <row r="635" spans="1:9" ht="31.5" hidden="1" x14ac:dyDescent="0.25">
      <c r="A635" s="396" t="s">
        <v>440</v>
      </c>
      <c r="B635" s="37">
        <v>906</v>
      </c>
      <c r="C635" s="20" t="s">
        <v>264</v>
      </c>
      <c r="D635" s="20" t="s">
        <v>213</v>
      </c>
      <c r="E635" s="20" t="s">
        <v>1315</v>
      </c>
      <c r="F635" s="20"/>
      <c r="G635" s="397">
        <f>'Пр.4 ведом.21'!G724</f>
        <v>0</v>
      </c>
      <c r="H635" s="397">
        <f t="shared" ref="H635:H706" si="57">G635</f>
        <v>0</v>
      </c>
      <c r="I635" s="192"/>
    </row>
    <row r="636" spans="1:9" ht="31.5" hidden="1" x14ac:dyDescent="0.25">
      <c r="A636" s="396" t="s">
        <v>272</v>
      </c>
      <c r="B636" s="37">
        <v>906</v>
      </c>
      <c r="C636" s="20" t="s">
        <v>264</v>
      </c>
      <c r="D636" s="20" t="s">
        <v>213</v>
      </c>
      <c r="E636" s="20" t="s">
        <v>1315</v>
      </c>
      <c r="F636" s="20" t="s">
        <v>273</v>
      </c>
      <c r="G636" s="397">
        <f>'Пр.4 ведом.21'!G725</f>
        <v>0</v>
      </c>
      <c r="H636" s="397">
        <f t="shared" si="57"/>
        <v>0</v>
      </c>
      <c r="I636" s="192"/>
    </row>
    <row r="637" spans="1:9" ht="15.75" hidden="1" x14ac:dyDescent="0.25">
      <c r="A637" s="396" t="s">
        <v>274</v>
      </c>
      <c r="B637" s="37">
        <v>906</v>
      </c>
      <c r="C637" s="20" t="s">
        <v>264</v>
      </c>
      <c r="D637" s="20" t="s">
        <v>213</v>
      </c>
      <c r="E637" s="20" t="s">
        <v>1315</v>
      </c>
      <c r="F637" s="20" t="s">
        <v>275</v>
      </c>
      <c r="G637" s="397">
        <f>'Пр.4 ведом.21'!G726</f>
        <v>0</v>
      </c>
      <c r="H637" s="397">
        <f t="shared" si="57"/>
        <v>0</v>
      </c>
      <c r="I637" s="192"/>
    </row>
    <row r="638" spans="1:9" ht="31.5" hidden="1" x14ac:dyDescent="0.25">
      <c r="A638" s="396" t="s">
        <v>278</v>
      </c>
      <c r="B638" s="37">
        <v>906</v>
      </c>
      <c r="C638" s="20" t="s">
        <v>264</v>
      </c>
      <c r="D638" s="20" t="s">
        <v>213</v>
      </c>
      <c r="E638" s="20" t="s">
        <v>1316</v>
      </c>
      <c r="F638" s="20"/>
      <c r="G638" s="397">
        <f>G639</f>
        <v>0</v>
      </c>
      <c r="H638" s="397">
        <f t="shared" si="57"/>
        <v>0</v>
      </c>
      <c r="I638" s="192"/>
    </row>
    <row r="639" spans="1:9" ht="31.5" hidden="1" x14ac:dyDescent="0.25">
      <c r="A639" s="396" t="s">
        <v>272</v>
      </c>
      <c r="B639" s="37">
        <v>906</v>
      </c>
      <c r="C639" s="20" t="s">
        <v>264</v>
      </c>
      <c r="D639" s="20" t="s">
        <v>213</v>
      </c>
      <c r="E639" s="20" t="s">
        <v>1316</v>
      </c>
      <c r="F639" s="20" t="s">
        <v>273</v>
      </c>
      <c r="G639" s="397">
        <f>G640</f>
        <v>0</v>
      </c>
      <c r="H639" s="397">
        <f t="shared" si="57"/>
        <v>0</v>
      </c>
      <c r="I639" s="192"/>
    </row>
    <row r="640" spans="1:9" ht="15.75" hidden="1" x14ac:dyDescent="0.25">
      <c r="A640" s="396" t="s">
        <v>274</v>
      </c>
      <c r="B640" s="37">
        <v>906</v>
      </c>
      <c r="C640" s="20" t="s">
        <v>264</v>
      </c>
      <c r="D640" s="20" t="s">
        <v>213</v>
      </c>
      <c r="E640" s="20" t="s">
        <v>1316</v>
      </c>
      <c r="F640" s="20" t="s">
        <v>275</v>
      </c>
      <c r="G640" s="397">
        <v>0</v>
      </c>
      <c r="H640" s="397">
        <v>0</v>
      </c>
      <c r="I640" s="192"/>
    </row>
    <row r="641" spans="1:9" ht="31.5" hidden="1" x14ac:dyDescent="0.25">
      <c r="A641" s="396" t="s">
        <v>280</v>
      </c>
      <c r="B641" s="37">
        <v>906</v>
      </c>
      <c r="C641" s="20" t="s">
        <v>264</v>
      </c>
      <c r="D641" s="20" t="s">
        <v>213</v>
      </c>
      <c r="E641" s="20" t="s">
        <v>1317</v>
      </c>
      <c r="F641" s="20"/>
      <c r="G641" s="397">
        <f>G642</f>
        <v>0</v>
      </c>
      <c r="H641" s="397">
        <f t="shared" si="57"/>
        <v>0</v>
      </c>
      <c r="I641" s="192"/>
    </row>
    <row r="642" spans="1:9" ht="31.5" hidden="1" x14ac:dyDescent="0.25">
      <c r="A642" s="396" t="s">
        <v>272</v>
      </c>
      <c r="B642" s="37">
        <v>906</v>
      </c>
      <c r="C642" s="20" t="s">
        <v>264</v>
      </c>
      <c r="D642" s="20" t="s">
        <v>213</v>
      </c>
      <c r="E642" s="20" t="s">
        <v>1317</v>
      </c>
      <c r="F642" s="20" t="s">
        <v>273</v>
      </c>
      <c r="G642" s="397">
        <f>G643</f>
        <v>0</v>
      </c>
      <c r="H642" s="397">
        <f t="shared" si="57"/>
        <v>0</v>
      </c>
      <c r="I642" s="192"/>
    </row>
    <row r="643" spans="1:9" ht="15.75" hidden="1" x14ac:dyDescent="0.25">
      <c r="A643" s="396" t="s">
        <v>274</v>
      </c>
      <c r="B643" s="37">
        <v>906</v>
      </c>
      <c r="C643" s="20" t="s">
        <v>264</v>
      </c>
      <c r="D643" s="20" t="s">
        <v>213</v>
      </c>
      <c r="E643" s="20" t="s">
        <v>1317</v>
      </c>
      <c r="F643" s="20" t="s">
        <v>275</v>
      </c>
      <c r="G643" s="397">
        <v>0</v>
      </c>
      <c r="H643" s="397">
        <f t="shared" si="57"/>
        <v>0</v>
      </c>
      <c r="I643" s="192"/>
    </row>
    <row r="644" spans="1:9" ht="31.5" x14ac:dyDescent="0.25">
      <c r="A644" s="396" t="s">
        <v>282</v>
      </c>
      <c r="B644" s="37">
        <v>906</v>
      </c>
      <c r="C644" s="20" t="s">
        <v>264</v>
      </c>
      <c r="D644" s="20" t="s">
        <v>213</v>
      </c>
      <c r="E644" s="20" t="s">
        <v>1251</v>
      </c>
      <c r="F644" s="20"/>
      <c r="G644" s="397">
        <f>G645</f>
        <v>224</v>
      </c>
      <c r="H644" s="397">
        <f>H645</f>
        <v>224</v>
      </c>
      <c r="I644" s="192"/>
    </row>
    <row r="645" spans="1:9" ht="31.5" x14ac:dyDescent="0.25">
      <c r="A645" s="396" t="s">
        <v>272</v>
      </c>
      <c r="B645" s="37">
        <v>906</v>
      </c>
      <c r="C645" s="20" t="s">
        <v>264</v>
      </c>
      <c r="D645" s="20" t="s">
        <v>213</v>
      </c>
      <c r="E645" s="20" t="s">
        <v>1251</v>
      </c>
      <c r="F645" s="20" t="s">
        <v>273</v>
      </c>
      <c r="G645" s="397">
        <f>G646</f>
        <v>224</v>
      </c>
      <c r="H645" s="397">
        <f>H646</f>
        <v>224</v>
      </c>
      <c r="I645" s="192"/>
    </row>
    <row r="646" spans="1:9" ht="15.75" x14ac:dyDescent="0.25">
      <c r="A646" s="396" t="s">
        <v>274</v>
      </c>
      <c r="B646" s="37">
        <v>906</v>
      </c>
      <c r="C646" s="20" t="s">
        <v>264</v>
      </c>
      <c r="D646" s="20" t="s">
        <v>213</v>
      </c>
      <c r="E646" s="20" t="s">
        <v>1251</v>
      </c>
      <c r="F646" s="20" t="s">
        <v>275</v>
      </c>
      <c r="G646" s="397">
        <f>224</f>
        <v>224</v>
      </c>
      <c r="H646" s="397">
        <f t="shared" si="57"/>
        <v>224</v>
      </c>
      <c r="I646" s="192"/>
    </row>
    <row r="647" spans="1:9" s="191" customFormat="1" ht="31.5" x14ac:dyDescent="0.25">
      <c r="A647" s="203" t="s">
        <v>947</v>
      </c>
      <c r="B647" s="19">
        <v>906</v>
      </c>
      <c r="C647" s="24" t="s">
        <v>264</v>
      </c>
      <c r="D647" s="24" t="s">
        <v>213</v>
      </c>
      <c r="E647" s="24" t="s">
        <v>1238</v>
      </c>
      <c r="F647" s="24"/>
      <c r="G647" s="44">
        <f>G648+G651</f>
        <v>2888</v>
      </c>
      <c r="H647" s="44">
        <f>H648+H651</f>
        <v>2888</v>
      </c>
      <c r="I647" s="192"/>
    </row>
    <row r="648" spans="1:9" s="191" customFormat="1" ht="31.5" hidden="1" x14ac:dyDescent="0.25">
      <c r="A648" s="396" t="s">
        <v>791</v>
      </c>
      <c r="B648" s="16">
        <v>906</v>
      </c>
      <c r="C648" s="20" t="s">
        <v>264</v>
      </c>
      <c r="D648" s="20" t="s">
        <v>213</v>
      </c>
      <c r="E648" s="20" t="s">
        <v>1256</v>
      </c>
      <c r="F648" s="20"/>
      <c r="G648" s="397">
        <f>G649</f>
        <v>0</v>
      </c>
      <c r="H648" s="397">
        <f>G648</f>
        <v>0</v>
      </c>
      <c r="I648" s="192"/>
    </row>
    <row r="649" spans="1:9" s="191" customFormat="1" ht="31.5" hidden="1" x14ac:dyDescent="0.25">
      <c r="A649" s="396" t="s">
        <v>272</v>
      </c>
      <c r="B649" s="16">
        <v>906</v>
      </c>
      <c r="C649" s="20" t="s">
        <v>264</v>
      </c>
      <c r="D649" s="20" t="s">
        <v>213</v>
      </c>
      <c r="E649" s="20" t="s">
        <v>1256</v>
      </c>
      <c r="F649" s="20" t="s">
        <v>273</v>
      </c>
      <c r="G649" s="397">
        <f>G650</f>
        <v>0</v>
      </c>
      <c r="H649" s="397">
        <f>G649</f>
        <v>0</v>
      </c>
      <c r="I649" s="192"/>
    </row>
    <row r="650" spans="1:9" s="191" customFormat="1" ht="15.75" hidden="1" x14ac:dyDescent="0.25">
      <c r="A650" s="396" t="s">
        <v>274</v>
      </c>
      <c r="B650" s="16">
        <v>906</v>
      </c>
      <c r="C650" s="20" t="s">
        <v>264</v>
      </c>
      <c r="D650" s="20" t="s">
        <v>213</v>
      </c>
      <c r="E650" s="20" t="s">
        <v>1256</v>
      </c>
      <c r="F650" s="20" t="s">
        <v>275</v>
      </c>
      <c r="G650" s="397">
        <v>0</v>
      </c>
      <c r="H650" s="397">
        <f>G650</f>
        <v>0</v>
      </c>
      <c r="I650" s="192"/>
    </row>
    <row r="651" spans="1:9" s="191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1239</v>
      </c>
      <c r="F651" s="20"/>
      <c r="G651" s="397">
        <f>G652</f>
        <v>2888</v>
      </c>
      <c r="H651" s="397">
        <f>H652</f>
        <v>2888</v>
      </c>
      <c r="I651" s="192"/>
    </row>
    <row r="652" spans="1:9" s="191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1239</v>
      </c>
      <c r="F652" s="20" t="s">
        <v>273</v>
      </c>
      <c r="G652" s="397">
        <f>G653</f>
        <v>2888</v>
      </c>
      <c r="H652" s="397">
        <f>H653</f>
        <v>2888</v>
      </c>
      <c r="I652" s="192"/>
    </row>
    <row r="653" spans="1:9" s="191" customFormat="1" ht="15.75" x14ac:dyDescent="0.25">
      <c r="A653" s="180" t="s">
        <v>274</v>
      </c>
      <c r="B653" s="16">
        <v>906</v>
      </c>
      <c r="C653" s="20" t="s">
        <v>264</v>
      </c>
      <c r="D653" s="20" t="s">
        <v>213</v>
      </c>
      <c r="E653" s="20" t="s">
        <v>1239</v>
      </c>
      <c r="F653" s="20" t="s">
        <v>275</v>
      </c>
      <c r="G653" s="397">
        <v>2888</v>
      </c>
      <c r="H653" s="397">
        <f>G653</f>
        <v>2888</v>
      </c>
      <c r="I653" s="192"/>
    </row>
    <row r="654" spans="1:9" ht="31.5" x14ac:dyDescent="0.25">
      <c r="A654" s="394" t="s">
        <v>937</v>
      </c>
      <c r="B654" s="236">
        <v>906</v>
      </c>
      <c r="C654" s="24" t="s">
        <v>264</v>
      </c>
      <c r="D654" s="24" t="s">
        <v>213</v>
      </c>
      <c r="E654" s="24" t="s">
        <v>1252</v>
      </c>
      <c r="F654" s="24"/>
      <c r="G654" s="393">
        <f t="shared" ref="G654:H656" si="58">G655</f>
        <v>3931.8</v>
      </c>
      <c r="H654" s="393">
        <f t="shared" si="58"/>
        <v>3865.2</v>
      </c>
      <c r="I654" s="192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1253</v>
      </c>
      <c r="F655" s="20"/>
      <c r="G655" s="397">
        <f t="shared" si="58"/>
        <v>3931.8</v>
      </c>
      <c r="H655" s="397">
        <f t="shared" si="58"/>
        <v>3865.2</v>
      </c>
      <c r="I655" s="192"/>
    </row>
    <row r="656" spans="1:9" ht="31.5" x14ac:dyDescent="0.25">
      <c r="A656" s="396" t="s">
        <v>272</v>
      </c>
      <c r="B656" s="37">
        <v>906</v>
      </c>
      <c r="C656" s="20" t="s">
        <v>264</v>
      </c>
      <c r="D656" s="20" t="s">
        <v>213</v>
      </c>
      <c r="E656" s="20" t="s">
        <v>1253</v>
      </c>
      <c r="F656" s="20" t="s">
        <v>273</v>
      </c>
      <c r="G656" s="397">
        <f t="shared" si="58"/>
        <v>3931.8</v>
      </c>
      <c r="H656" s="397">
        <f t="shared" si="58"/>
        <v>3865.2</v>
      </c>
      <c r="I656" s="192"/>
    </row>
    <row r="657" spans="1:15" ht="15.75" x14ac:dyDescent="0.25">
      <c r="A657" s="396" t="s">
        <v>274</v>
      </c>
      <c r="B657" s="37">
        <v>906</v>
      </c>
      <c r="C657" s="20" t="s">
        <v>264</v>
      </c>
      <c r="D657" s="20" t="s">
        <v>213</v>
      </c>
      <c r="E657" s="20" t="s">
        <v>1253</v>
      </c>
      <c r="F657" s="20" t="s">
        <v>275</v>
      </c>
      <c r="G657" s="397">
        <v>3931.8</v>
      </c>
      <c r="H657" s="397">
        <v>3865.2</v>
      </c>
      <c r="I657" s="192"/>
    </row>
    <row r="658" spans="1:15" ht="31.5" x14ac:dyDescent="0.25">
      <c r="A658" s="394" t="s">
        <v>938</v>
      </c>
      <c r="B658" s="236">
        <v>906</v>
      </c>
      <c r="C658" s="24" t="s">
        <v>264</v>
      </c>
      <c r="D658" s="24" t="s">
        <v>213</v>
      </c>
      <c r="E658" s="24" t="s">
        <v>1254</v>
      </c>
      <c r="F658" s="24"/>
      <c r="G658" s="44">
        <f t="shared" ref="G658:H660" si="59">G659</f>
        <v>1384.6</v>
      </c>
      <c r="H658" s="44">
        <f t="shared" si="59"/>
        <v>1384.6</v>
      </c>
      <c r="I658" s="192"/>
    </row>
    <row r="659" spans="1:15" ht="47.25" x14ac:dyDescent="0.25">
      <c r="A659" s="396" t="s">
        <v>438</v>
      </c>
      <c r="B659" s="37">
        <v>906</v>
      </c>
      <c r="C659" s="20" t="s">
        <v>264</v>
      </c>
      <c r="D659" s="20" t="s">
        <v>213</v>
      </c>
      <c r="E659" s="20" t="s">
        <v>1255</v>
      </c>
      <c r="F659" s="20"/>
      <c r="G659" s="397">
        <f t="shared" si="59"/>
        <v>1384.6</v>
      </c>
      <c r="H659" s="397">
        <f t="shared" si="59"/>
        <v>1384.6</v>
      </c>
      <c r="I659" s="192"/>
    </row>
    <row r="660" spans="1:15" ht="31.5" x14ac:dyDescent="0.25">
      <c r="A660" s="396" t="s">
        <v>272</v>
      </c>
      <c r="B660" s="37">
        <v>906</v>
      </c>
      <c r="C660" s="20" t="s">
        <v>264</v>
      </c>
      <c r="D660" s="20" t="s">
        <v>213</v>
      </c>
      <c r="E660" s="20" t="s">
        <v>1255</v>
      </c>
      <c r="F660" s="20" t="s">
        <v>273</v>
      </c>
      <c r="G660" s="397">
        <f t="shared" si="59"/>
        <v>1384.6</v>
      </c>
      <c r="H660" s="397">
        <f t="shared" si="59"/>
        <v>1384.6</v>
      </c>
      <c r="I660" s="192"/>
    </row>
    <row r="661" spans="1:15" ht="15.75" x14ac:dyDescent="0.25">
      <c r="A661" s="396" t="s">
        <v>274</v>
      </c>
      <c r="B661" s="37">
        <v>906</v>
      </c>
      <c r="C661" s="20" t="s">
        <v>264</v>
      </c>
      <c r="D661" s="20" t="s">
        <v>213</v>
      </c>
      <c r="E661" s="20" t="s">
        <v>1255</v>
      </c>
      <c r="F661" s="20" t="s">
        <v>275</v>
      </c>
      <c r="G661" s="397">
        <v>1384.6</v>
      </c>
      <c r="H661" s="397">
        <v>1384.6</v>
      </c>
      <c r="I661" s="192"/>
    </row>
    <row r="662" spans="1:15" ht="31.5" x14ac:dyDescent="0.25">
      <c r="A662" s="201" t="s">
        <v>939</v>
      </c>
      <c r="B662" s="19">
        <v>906</v>
      </c>
      <c r="C662" s="24" t="s">
        <v>264</v>
      </c>
      <c r="D662" s="24" t="s">
        <v>213</v>
      </c>
      <c r="E662" s="24" t="s">
        <v>1257</v>
      </c>
      <c r="F662" s="24"/>
      <c r="G662" s="393">
        <f>G663+G666</f>
        <v>755.8</v>
      </c>
      <c r="H662" s="393">
        <f>H663+H666</f>
        <v>759</v>
      </c>
      <c r="I662" s="192"/>
    </row>
    <row r="663" spans="1:15" ht="50.25" customHeight="1" x14ac:dyDescent="0.25">
      <c r="A663" s="180" t="s">
        <v>827</v>
      </c>
      <c r="B663" s="16">
        <v>906</v>
      </c>
      <c r="C663" s="20" t="s">
        <v>264</v>
      </c>
      <c r="D663" s="20" t="s">
        <v>213</v>
      </c>
      <c r="E663" s="20" t="s">
        <v>1422</v>
      </c>
      <c r="F663" s="20"/>
      <c r="G663" s="397">
        <f>G664</f>
        <v>755.8</v>
      </c>
      <c r="H663" s="397">
        <f t="shared" ref="H663:H664" si="60">H664</f>
        <v>759</v>
      </c>
      <c r="I663" s="192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1422</v>
      </c>
      <c r="F664" s="20" t="s">
        <v>273</v>
      </c>
      <c r="G664" s="397">
        <f>G665</f>
        <v>755.8</v>
      </c>
      <c r="H664" s="397">
        <f t="shared" si="60"/>
        <v>759</v>
      </c>
      <c r="I664" s="192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1422</v>
      </c>
      <c r="F665" s="20" t="s">
        <v>275</v>
      </c>
      <c r="G665" s="397">
        <v>755.8</v>
      </c>
      <c r="H665" s="397">
        <v>759</v>
      </c>
      <c r="I665" s="192"/>
    </row>
    <row r="666" spans="1:15" s="191" customFormat="1" ht="31.5" hidden="1" x14ac:dyDescent="0.25">
      <c r="A666" s="301" t="s">
        <v>1421</v>
      </c>
      <c r="B666" s="16">
        <v>906</v>
      </c>
      <c r="C666" s="20" t="s">
        <v>264</v>
      </c>
      <c r="D666" s="20" t="s">
        <v>213</v>
      </c>
      <c r="E666" s="20" t="s">
        <v>1423</v>
      </c>
      <c r="F666" s="20"/>
      <c r="G666" s="397">
        <f>G667</f>
        <v>0</v>
      </c>
      <c r="H666" s="397">
        <f>H667</f>
        <v>0</v>
      </c>
      <c r="I666" s="192"/>
    </row>
    <row r="667" spans="1:15" s="191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1423</v>
      </c>
      <c r="F667" s="20" t="s">
        <v>273</v>
      </c>
      <c r="G667" s="397">
        <f>G668</f>
        <v>0</v>
      </c>
      <c r="H667" s="397">
        <f>H668</f>
        <v>0</v>
      </c>
      <c r="I667" s="192"/>
    </row>
    <row r="668" spans="1:15" s="191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1423</v>
      </c>
      <c r="F668" s="20" t="s">
        <v>275</v>
      </c>
      <c r="G668" s="397">
        <v>0</v>
      </c>
      <c r="H668" s="397">
        <v>0</v>
      </c>
      <c r="I668" s="192"/>
    </row>
    <row r="669" spans="1:15" s="191" customFormat="1" ht="31.5" x14ac:dyDescent="0.25">
      <c r="A669" s="268" t="s">
        <v>1404</v>
      </c>
      <c r="B669" s="19">
        <v>906</v>
      </c>
      <c r="C669" s="24" t="s">
        <v>264</v>
      </c>
      <c r="D669" s="24" t="s">
        <v>213</v>
      </c>
      <c r="E669" s="24" t="s">
        <v>1403</v>
      </c>
      <c r="F669" s="24"/>
      <c r="G669" s="393">
        <f t="shared" ref="G669:H671" si="61">G670</f>
        <v>5415.6500000000005</v>
      </c>
      <c r="H669" s="393">
        <f t="shared" si="61"/>
        <v>5142.4500000000007</v>
      </c>
      <c r="I669" s="192"/>
    </row>
    <row r="670" spans="1:15" s="191" customFormat="1" ht="63" x14ac:dyDescent="0.25">
      <c r="A670" s="267" t="s">
        <v>1390</v>
      </c>
      <c r="B670" s="16">
        <v>906</v>
      </c>
      <c r="C670" s="20" t="s">
        <v>264</v>
      </c>
      <c r="D670" s="20" t="s">
        <v>213</v>
      </c>
      <c r="E670" s="20" t="s">
        <v>1442</v>
      </c>
      <c r="F670" s="20"/>
      <c r="G670" s="397">
        <f t="shared" si="61"/>
        <v>5415.6500000000005</v>
      </c>
      <c r="H670" s="397">
        <f t="shared" si="61"/>
        <v>5142.4500000000007</v>
      </c>
      <c r="I670" s="192"/>
    </row>
    <row r="671" spans="1:15" s="191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1442</v>
      </c>
      <c r="F671" s="20" t="s">
        <v>273</v>
      </c>
      <c r="G671" s="397">
        <f t="shared" si="61"/>
        <v>5415.6500000000005</v>
      </c>
      <c r="H671" s="397">
        <f t="shared" si="61"/>
        <v>5142.4500000000007</v>
      </c>
      <c r="I671" s="192"/>
    </row>
    <row r="672" spans="1:15" s="191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1442</v>
      </c>
      <c r="F672" s="20" t="s">
        <v>275</v>
      </c>
      <c r="G672" s="397">
        <f>5193.6+222.05</f>
        <v>5415.6500000000005</v>
      </c>
      <c r="H672" s="397">
        <f>4931.6+210.85</f>
        <v>5142.4500000000007</v>
      </c>
      <c r="I672" s="192"/>
      <c r="L672" s="192"/>
      <c r="M672" s="192"/>
      <c r="N672" s="192"/>
      <c r="O672" s="192"/>
    </row>
    <row r="673" spans="1:15" s="191" customFormat="1" ht="47.25" hidden="1" x14ac:dyDescent="0.25">
      <c r="A673" s="201" t="s">
        <v>1170</v>
      </c>
      <c r="B673" s="19">
        <v>906</v>
      </c>
      <c r="C673" s="24" t="s">
        <v>264</v>
      </c>
      <c r="D673" s="24" t="s">
        <v>213</v>
      </c>
      <c r="E673" s="24" t="s">
        <v>1318</v>
      </c>
      <c r="F673" s="24"/>
      <c r="G673" s="393">
        <f t="shared" ref="G673:H677" si="62">G674</f>
        <v>0</v>
      </c>
      <c r="H673" s="393">
        <f t="shared" si="62"/>
        <v>0</v>
      </c>
      <c r="I673" s="192"/>
    </row>
    <row r="674" spans="1:15" s="191" customFormat="1" ht="47.25" hidden="1" x14ac:dyDescent="0.25">
      <c r="A674" s="180" t="s">
        <v>1178</v>
      </c>
      <c r="B674" s="16">
        <v>906</v>
      </c>
      <c r="C674" s="20" t="s">
        <v>264</v>
      </c>
      <c r="D674" s="20" t="s">
        <v>213</v>
      </c>
      <c r="E674" s="20" t="s">
        <v>1319</v>
      </c>
      <c r="F674" s="20"/>
      <c r="G674" s="397">
        <f t="shared" si="62"/>
        <v>0</v>
      </c>
      <c r="H674" s="397">
        <f t="shared" si="62"/>
        <v>0</v>
      </c>
      <c r="I674" s="192"/>
    </row>
    <row r="675" spans="1:15" s="191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1319</v>
      </c>
      <c r="F675" s="20" t="s">
        <v>273</v>
      </c>
      <c r="G675" s="397">
        <f t="shared" si="62"/>
        <v>0</v>
      </c>
      <c r="H675" s="397">
        <f t="shared" si="62"/>
        <v>0</v>
      </c>
      <c r="I675" s="192"/>
    </row>
    <row r="676" spans="1:15" s="191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1319</v>
      </c>
      <c r="F676" s="20" t="s">
        <v>275</v>
      </c>
      <c r="G676" s="397">
        <v>0</v>
      </c>
      <c r="H676" s="397">
        <f>G676</f>
        <v>0</v>
      </c>
      <c r="I676" s="192"/>
    </row>
    <row r="677" spans="1:15" s="191" customFormat="1" ht="31.5" x14ac:dyDescent="0.25">
      <c r="A677" s="34" t="s">
        <v>1457</v>
      </c>
      <c r="B677" s="19">
        <v>906</v>
      </c>
      <c r="C677" s="24" t="s">
        <v>264</v>
      </c>
      <c r="D677" s="24" t="s">
        <v>213</v>
      </c>
      <c r="E677" s="24" t="s">
        <v>1455</v>
      </c>
      <c r="F677" s="24"/>
      <c r="G677" s="393">
        <f t="shared" si="62"/>
        <v>1749.4499999999998</v>
      </c>
      <c r="H677" s="393">
        <f t="shared" si="62"/>
        <v>2341</v>
      </c>
      <c r="I677" s="192"/>
    </row>
    <row r="678" spans="1:15" s="191" customFormat="1" ht="54" customHeight="1" x14ac:dyDescent="0.25">
      <c r="A678" s="31" t="s">
        <v>1504</v>
      </c>
      <c r="B678" s="16">
        <v>906</v>
      </c>
      <c r="C678" s="20" t="s">
        <v>264</v>
      </c>
      <c r="D678" s="20" t="s">
        <v>213</v>
      </c>
      <c r="E678" s="20" t="s">
        <v>1456</v>
      </c>
      <c r="F678" s="20"/>
      <c r="G678" s="397">
        <f>G679</f>
        <v>1749.4499999999998</v>
      </c>
      <c r="H678" s="397">
        <f>H679</f>
        <v>2341</v>
      </c>
      <c r="I678" s="192"/>
    </row>
    <row r="679" spans="1:15" s="191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1456</v>
      </c>
      <c r="F679" s="20" t="s">
        <v>273</v>
      </c>
      <c r="G679" s="397">
        <f>G680</f>
        <v>1749.4499999999998</v>
      </c>
      <c r="H679" s="397">
        <f>H680</f>
        <v>2341</v>
      </c>
      <c r="I679" s="192"/>
    </row>
    <row r="680" spans="1:15" s="191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1456</v>
      </c>
      <c r="F680" s="20" t="s">
        <v>275</v>
      </c>
      <c r="G680" s="397">
        <f>1644.1+33.6+71.75</f>
        <v>1749.4499999999998</v>
      </c>
      <c r="H680" s="397">
        <f>2200+45+96</f>
        <v>2341</v>
      </c>
      <c r="I680" s="192"/>
      <c r="L680" s="192"/>
      <c r="M680" s="192"/>
      <c r="N680" s="192"/>
      <c r="O680" s="192"/>
    </row>
    <row r="681" spans="1:15" ht="47.25" x14ac:dyDescent="0.25">
      <c r="A681" s="34" t="s">
        <v>1356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393">
        <f t="shared" ref="G681:H684" si="63">G682</f>
        <v>60</v>
      </c>
      <c r="H681" s="393">
        <f t="shared" si="63"/>
        <v>70</v>
      </c>
      <c r="I681" s="192"/>
    </row>
    <row r="682" spans="1:15" ht="63" x14ac:dyDescent="0.25">
      <c r="A682" s="34" t="s">
        <v>1023</v>
      </c>
      <c r="B682" s="19">
        <v>906</v>
      </c>
      <c r="C682" s="24" t="s">
        <v>264</v>
      </c>
      <c r="D682" s="24" t="s">
        <v>213</v>
      </c>
      <c r="E682" s="24" t="s">
        <v>933</v>
      </c>
      <c r="F682" s="24"/>
      <c r="G682" s="393">
        <f t="shared" si="63"/>
        <v>60</v>
      </c>
      <c r="H682" s="393">
        <f t="shared" si="63"/>
        <v>70</v>
      </c>
      <c r="I682" s="192"/>
    </row>
    <row r="683" spans="1:15" ht="47.25" x14ac:dyDescent="0.25">
      <c r="A683" s="31" t="s">
        <v>1082</v>
      </c>
      <c r="B683" s="16">
        <v>906</v>
      </c>
      <c r="C683" s="20" t="s">
        <v>264</v>
      </c>
      <c r="D683" s="20" t="s">
        <v>213</v>
      </c>
      <c r="E683" s="20" t="s">
        <v>934</v>
      </c>
      <c r="F683" s="20"/>
      <c r="G683" s="397">
        <f t="shared" si="63"/>
        <v>60</v>
      </c>
      <c r="H683" s="397">
        <f t="shared" si="63"/>
        <v>70</v>
      </c>
      <c r="I683" s="192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934</v>
      </c>
      <c r="F684" s="20" t="s">
        <v>273</v>
      </c>
      <c r="G684" s="397">
        <f t="shared" si="63"/>
        <v>60</v>
      </c>
      <c r="H684" s="397">
        <f t="shared" si="63"/>
        <v>70</v>
      </c>
      <c r="I684" s="192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934</v>
      </c>
      <c r="F685" s="20" t="s">
        <v>275</v>
      </c>
      <c r="G685" s="397">
        <v>60</v>
      </c>
      <c r="H685" s="397">
        <v>70</v>
      </c>
      <c r="I685" s="192"/>
    </row>
    <row r="686" spans="1:15" ht="47.25" x14ac:dyDescent="0.25">
      <c r="A686" s="400" t="s">
        <v>1351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06"/>
      <c r="G686" s="393">
        <f t="shared" ref="G686:H689" si="64">G687</f>
        <v>870.5</v>
      </c>
      <c r="H686" s="393">
        <f t="shared" si="64"/>
        <v>905.3</v>
      </c>
      <c r="I686" s="192"/>
    </row>
    <row r="687" spans="1:15" ht="47.25" x14ac:dyDescent="0.25">
      <c r="A687" s="400" t="s">
        <v>889</v>
      </c>
      <c r="B687" s="19">
        <v>906</v>
      </c>
      <c r="C687" s="24" t="s">
        <v>264</v>
      </c>
      <c r="D687" s="24" t="s">
        <v>213</v>
      </c>
      <c r="E687" s="24" t="s">
        <v>887</v>
      </c>
      <c r="F687" s="206"/>
      <c r="G687" s="393">
        <f t="shared" si="64"/>
        <v>870.5</v>
      </c>
      <c r="H687" s="393">
        <f t="shared" si="64"/>
        <v>905.3</v>
      </c>
      <c r="I687" s="192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935</v>
      </c>
      <c r="F688" s="32"/>
      <c r="G688" s="397">
        <f t="shared" si="64"/>
        <v>870.5</v>
      </c>
      <c r="H688" s="397">
        <f t="shared" si="64"/>
        <v>905.3</v>
      </c>
      <c r="I688" s="192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935</v>
      </c>
      <c r="F689" s="32" t="s">
        <v>273</v>
      </c>
      <c r="G689" s="397">
        <f t="shared" si="64"/>
        <v>870.5</v>
      </c>
      <c r="H689" s="397">
        <f t="shared" si="64"/>
        <v>905.3</v>
      </c>
      <c r="I689" s="192"/>
    </row>
    <row r="690" spans="1:9" ht="15.75" x14ac:dyDescent="0.25">
      <c r="A690" s="180" t="s">
        <v>274</v>
      </c>
      <c r="B690" s="16">
        <v>906</v>
      </c>
      <c r="C690" s="20" t="s">
        <v>264</v>
      </c>
      <c r="D690" s="20" t="s">
        <v>213</v>
      </c>
      <c r="E690" s="20" t="s">
        <v>935</v>
      </c>
      <c r="F690" s="32" t="s">
        <v>275</v>
      </c>
      <c r="G690" s="397">
        <v>870.5</v>
      </c>
      <c r="H690" s="397">
        <v>905.3</v>
      </c>
      <c r="I690" s="192"/>
    </row>
    <row r="691" spans="1:9" ht="15.75" x14ac:dyDescent="0.25">
      <c r="A691" s="394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192"/>
    </row>
    <row r="692" spans="1:9" ht="39.75" customHeight="1" x14ac:dyDescent="0.25">
      <c r="A692" s="394" t="s">
        <v>1357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192"/>
    </row>
    <row r="693" spans="1:9" ht="31.5" x14ac:dyDescent="0.25">
      <c r="A693" s="394" t="s">
        <v>936</v>
      </c>
      <c r="B693" s="19">
        <v>906</v>
      </c>
      <c r="C693" s="24" t="s">
        <v>264</v>
      </c>
      <c r="D693" s="24" t="s">
        <v>215</v>
      </c>
      <c r="E693" s="24" t="s">
        <v>1228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192"/>
    </row>
    <row r="694" spans="1:9" ht="47.25" x14ac:dyDescent="0.25">
      <c r="A694" s="396" t="s">
        <v>270</v>
      </c>
      <c r="B694" s="16">
        <v>906</v>
      </c>
      <c r="C694" s="20" t="s">
        <v>264</v>
      </c>
      <c r="D694" s="20" t="s">
        <v>215</v>
      </c>
      <c r="E694" s="20" t="s">
        <v>1258</v>
      </c>
      <c r="F694" s="20"/>
      <c r="G694" s="397">
        <f t="shared" si="65"/>
        <v>37056.300000000003</v>
      </c>
      <c r="H694" s="397">
        <f t="shared" si="65"/>
        <v>37056.300000000003</v>
      </c>
      <c r="I694" s="192"/>
    </row>
    <row r="695" spans="1:9" ht="31.5" x14ac:dyDescent="0.25">
      <c r="A695" s="396" t="s">
        <v>272</v>
      </c>
      <c r="B695" s="16">
        <v>906</v>
      </c>
      <c r="C695" s="20" t="s">
        <v>264</v>
      </c>
      <c r="D695" s="20" t="s">
        <v>215</v>
      </c>
      <c r="E695" s="20" t="s">
        <v>1258</v>
      </c>
      <c r="F695" s="20" t="s">
        <v>273</v>
      </c>
      <c r="G695" s="397">
        <f t="shared" si="65"/>
        <v>37056.300000000003</v>
      </c>
      <c r="H695" s="397">
        <f t="shared" si="65"/>
        <v>37056.300000000003</v>
      </c>
      <c r="I695" s="192"/>
    </row>
    <row r="696" spans="1:9" ht="15.75" x14ac:dyDescent="0.25">
      <c r="A696" s="396" t="s">
        <v>274</v>
      </c>
      <c r="B696" s="16">
        <v>906</v>
      </c>
      <c r="C696" s="20" t="s">
        <v>264</v>
      </c>
      <c r="D696" s="20" t="s">
        <v>215</v>
      </c>
      <c r="E696" s="20" t="s">
        <v>1258</v>
      </c>
      <c r="F696" s="20" t="s">
        <v>275</v>
      </c>
      <c r="G696" s="397">
        <v>37056.300000000003</v>
      </c>
      <c r="H696" s="397">
        <f t="shared" si="57"/>
        <v>37056.300000000003</v>
      </c>
      <c r="I696" s="192"/>
    </row>
    <row r="697" spans="1:9" ht="47.25" x14ac:dyDescent="0.25">
      <c r="A697" s="394" t="s">
        <v>899</v>
      </c>
      <c r="B697" s="19">
        <v>906</v>
      </c>
      <c r="C697" s="24" t="s">
        <v>264</v>
      </c>
      <c r="D697" s="24" t="s">
        <v>215</v>
      </c>
      <c r="E697" s="24" t="s">
        <v>1230</v>
      </c>
      <c r="F697" s="24"/>
      <c r="G697" s="44">
        <f>G701+G704+G698</f>
        <v>2128.5</v>
      </c>
      <c r="H697" s="44">
        <f>H701+H704+H698</f>
        <v>2128.5</v>
      </c>
      <c r="I697" s="192"/>
    </row>
    <row r="698" spans="1:9" s="191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1389</v>
      </c>
      <c r="F698" s="20"/>
      <c r="G698" s="397">
        <f>G699</f>
        <v>1400</v>
      </c>
      <c r="H698" s="397">
        <f>H699</f>
        <v>1400</v>
      </c>
      <c r="I698" s="192"/>
    </row>
    <row r="699" spans="1:9" s="191" customFormat="1" ht="31.5" x14ac:dyDescent="0.25">
      <c r="A699" s="396" t="s">
        <v>272</v>
      </c>
      <c r="B699" s="16">
        <v>906</v>
      </c>
      <c r="C699" s="20" t="s">
        <v>264</v>
      </c>
      <c r="D699" s="20" t="s">
        <v>215</v>
      </c>
      <c r="E699" s="20" t="s">
        <v>1389</v>
      </c>
      <c r="F699" s="20" t="s">
        <v>273</v>
      </c>
      <c r="G699" s="397">
        <f>G700</f>
        <v>1400</v>
      </c>
      <c r="H699" s="397">
        <f>H700</f>
        <v>1400</v>
      </c>
      <c r="I699" s="192"/>
    </row>
    <row r="700" spans="1:9" s="191" customFormat="1" ht="15.75" x14ac:dyDescent="0.25">
      <c r="A700" s="396" t="s">
        <v>274</v>
      </c>
      <c r="B700" s="16">
        <v>906</v>
      </c>
      <c r="C700" s="20" t="s">
        <v>264</v>
      </c>
      <c r="D700" s="20" t="s">
        <v>215</v>
      </c>
      <c r="E700" s="20" t="s">
        <v>1389</v>
      </c>
      <c r="F700" s="20" t="s">
        <v>275</v>
      </c>
      <c r="G700" s="397">
        <v>1400</v>
      </c>
      <c r="H700" s="397">
        <f>G700</f>
        <v>1400</v>
      </c>
      <c r="I700" s="192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1231</v>
      </c>
      <c r="F701" s="20"/>
      <c r="G701" s="397">
        <f>G702</f>
        <v>179</v>
      </c>
      <c r="H701" s="397">
        <f>H702</f>
        <v>179</v>
      </c>
      <c r="I701" s="192"/>
    </row>
    <row r="702" spans="1:9" ht="31.5" x14ac:dyDescent="0.25">
      <c r="A702" s="396" t="s">
        <v>272</v>
      </c>
      <c r="B702" s="16">
        <v>906</v>
      </c>
      <c r="C702" s="20" t="s">
        <v>264</v>
      </c>
      <c r="D702" s="20" t="s">
        <v>215</v>
      </c>
      <c r="E702" s="20" t="s">
        <v>1231</v>
      </c>
      <c r="F702" s="20" t="s">
        <v>273</v>
      </c>
      <c r="G702" s="397">
        <f>G703</f>
        <v>179</v>
      </c>
      <c r="H702" s="397">
        <f>H703</f>
        <v>179</v>
      </c>
      <c r="I702" s="192"/>
    </row>
    <row r="703" spans="1:9" ht="15.75" x14ac:dyDescent="0.25">
      <c r="A703" s="396" t="s">
        <v>274</v>
      </c>
      <c r="B703" s="16">
        <v>906</v>
      </c>
      <c r="C703" s="20" t="s">
        <v>264</v>
      </c>
      <c r="D703" s="20" t="s">
        <v>215</v>
      </c>
      <c r="E703" s="20" t="s">
        <v>1231</v>
      </c>
      <c r="F703" s="20" t="s">
        <v>275</v>
      </c>
      <c r="G703" s="397">
        <v>179</v>
      </c>
      <c r="H703" s="397">
        <f t="shared" si="57"/>
        <v>179</v>
      </c>
      <c r="I703" s="192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1232</v>
      </c>
      <c r="F704" s="20"/>
      <c r="G704" s="397">
        <f>G705</f>
        <v>549.5</v>
      </c>
      <c r="H704" s="397">
        <f>H705</f>
        <v>549.5</v>
      </c>
      <c r="I704" s="192"/>
    </row>
    <row r="705" spans="1:9" ht="31.5" x14ac:dyDescent="0.25">
      <c r="A705" s="396" t="s">
        <v>272</v>
      </c>
      <c r="B705" s="16">
        <v>906</v>
      </c>
      <c r="C705" s="20" t="s">
        <v>264</v>
      </c>
      <c r="D705" s="20" t="s">
        <v>215</v>
      </c>
      <c r="E705" s="20" t="s">
        <v>1232</v>
      </c>
      <c r="F705" s="20" t="s">
        <v>273</v>
      </c>
      <c r="G705" s="397">
        <f>G706</f>
        <v>549.5</v>
      </c>
      <c r="H705" s="397">
        <f>H706</f>
        <v>549.5</v>
      </c>
      <c r="I705" s="192"/>
    </row>
    <row r="706" spans="1:9" ht="15.75" x14ac:dyDescent="0.25">
      <c r="A706" s="396" t="s">
        <v>274</v>
      </c>
      <c r="B706" s="16">
        <v>906</v>
      </c>
      <c r="C706" s="20" t="s">
        <v>264</v>
      </c>
      <c r="D706" s="20" t="s">
        <v>215</v>
      </c>
      <c r="E706" s="20" t="s">
        <v>1232</v>
      </c>
      <c r="F706" s="20" t="s">
        <v>275</v>
      </c>
      <c r="G706" s="397">
        <f>549.5</f>
        <v>549.5</v>
      </c>
      <c r="H706" s="397">
        <f t="shared" si="57"/>
        <v>549.5</v>
      </c>
      <c r="I706" s="192"/>
    </row>
    <row r="707" spans="1:9" ht="31.5" hidden="1" x14ac:dyDescent="0.25">
      <c r="A707" s="394" t="s">
        <v>940</v>
      </c>
      <c r="B707" s="19">
        <v>906</v>
      </c>
      <c r="C707" s="24" t="s">
        <v>264</v>
      </c>
      <c r="D707" s="24" t="s">
        <v>215</v>
      </c>
      <c r="E707" s="24" t="s">
        <v>1058</v>
      </c>
      <c r="F707" s="24"/>
      <c r="G707" s="44">
        <f>G708</f>
        <v>0</v>
      </c>
      <c r="H707" s="44">
        <f>H708</f>
        <v>0</v>
      </c>
      <c r="I707" s="192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1059</v>
      </c>
      <c r="F708" s="20"/>
      <c r="G708" s="397">
        <f>'Пр.4 ведом.21'!G812</f>
        <v>0</v>
      </c>
      <c r="H708" s="397">
        <f t="shared" ref="H708:H770" si="66">G708</f>
        <v>0</v>
      </c>
      <c r="I708" s="192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1059</v>
      </c>
      <c r="F709" s="20" t="s">
        <v>273</v>
      </c>
      <c r="G709" s="397">
        <f>'Пр.4 ведом.21'!G813</f>
        <v>0</v>
      </c>
      <c r="H709" s="397">
        <f t="shared" si="66"/>
        <v>0</v>
      </c>
      <c r="I709" s="192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1059</v>
      </c>
      <c r="F710" s="20" t="s">
        <v>275</v>
      </c>
      <c r="G710" s="397">
        <f>'Пр.4 ведом.21'!G814</f>
        <v>0</v>
      </c>
      <c r="H710" s="397">
        <f t="shared" si="66"/>
        <v>0</v>
      </c>
      <c r="I710" s="192"/>
    </row>
    <row r="711" spans="1:9" ht="31.5" x14ac:dyDescent="0.25">
      <c r="A711" s="203" t="s">
        <v>947</v>
      </c>
      <c r="B711" s="19">
        <v>906</v>
      </c>
      <c r="C711" s="24" t="s">
        <v>264</v>
      </c>
      <c r="D711" s="24" t="s">
        <v>215</v>
      </c>
      <c r="E711" s="24" t="s">
        <v>1238</v>
      </c>
      <c r="F711" s="24"/>
      <c r="G711" s="44">
        <f t="shared" ref="G711:H713" si="67">G712</f>
        <v>1564</v>
      </c>
      <c r="H711" s="44">
        <f t="shared" si="67"/>
        <v>1564</v>
      </c>
      <c r="I711" s="192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1239</v>
      </c>
      <c r="F712" s="20"/>
      <c r="G712" s="397">
        <f t="shared" si="67"/>
        <v>1564</v>
      </c>
      <c r="H712" s="397">
        <f t="shared" si="67"/>
        <v>1564</v>
      </c>
      <c r="I712" s="192"/>
    </row>
    <row r="713" spans="1:9" ht="31.5" x14ac:dyDescent="0.25">
      <c r="A713" s="396" t="s">
        <v>272</v>
      </c>
      <c r="B713" s="16">
        <v>906</v>
      </c>
      <c r="C713" s="20" t="s">
        <v>264</v>
      </c>
      <c r="D713" s="20" t="s">
        <v>215</v>
      </c>
      <c r="E713" s="20" t="s">
        <v>1239</v>
      </c>
      <c r="F713" s="20" t="s">
        <v>273</v>
      </c>
      <c r="G713" s="397">
        <f t="shared" si="67"/>
        <v>1564</v>
      </c>
      <c r="H713" s="397">
        <f t="shared" si="67"/>
        <v>1564</v>
      </c>
      <c r="I713" s="192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1239</v>
      </c>
      <c r="F714" s="20" t="s">
        <v>275</v>
      </c>
      <c r="G714" s="397">
        <v>1564</v>
      </c>
      <c r="H714" s="397">
        <v>1564</v>
      </c>
      <c r="I714" s="192"/>
    </row>
    <row r="715" spans="1:9" ht="47.25" x14ac:dyDescent="0.25">
      <c r="A715" s="400" t="s">
        <v>1349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06"/>
      <c r="G715" s="44">
        <f>G717</f>
        <v>302.7</v>
      </c>
      <c r="H715" s="44">
        <f>H717</f>
        <v>314.89999999999998</v>
      </c>
      <c r="I715" s="192"/>
    </row>
    <row r="716" spans="1:9" ht="47.25" x14ac:dyDescent="0.25">
      <c r="A716" s="400" t="s">
        <v>889</v>
      </c>
      <c r="B716" s="19">
        <v>906</v>
      </c>
      <c r="C716" s="24" t="s">
        <v>264</v>
      </c>
      <c r="D716" s="24" t="s">
        <v>941</v>
      </c>
      <c r="E716" s="24" t="s">
        <v>887</v>
      </c>
      <c r="F716" s="206"/>
      <c r="G716" s="44">
        <f t="shared" ref="G716:H718" si="68">G717</f>
        <v>302.7</v>
      </c>
      <c r="H716" s="44">
        <f t="shared" si="68"/>
        <v>314.89999999999998</v>
      </c>
      <c r="I716" s="192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935</v>
      </c>
      <c r="F717" s="32"/>
      <c r="G717" s="397">
        <f t="shared" si="68"/>
        <v>302.7</v>
      </c>
      <c r="H717" s="397">
        <f t="shared" si="68"/>
        <v>314.89999999999998</v>
      </c>
      <c r="I717" s="192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935</v>
      </c>
      <c r="F718" s="32" t="s">
        <v>273</v>
      </c>
      <c r="G718" s="397">
        <f t="shared" si="68"/>
        <v>302.7</v>
      </c>
      <c r="H718" s="397">
        <f t="shared" si="68"/>
        <v>314.89999999999998</v>
      </c>
      <c r="I718" s="192"/>
    </row>
    <row r="719" spans="1:9" ht="15.75" x14ac:dyDescent="0.25">
      <c r="A719" s="180" t="s">
        <v>274</v>
      </c>
      <c r="B719" s="16">
        <v>906</v>
      </c>
      <c r="C719" s="20" t="s">
        <v>264</v>
      </c>
      <c r="D719" s="20" t="s">
        <v>215</v>
      </c>
      <c r="E719" s="20" t="s">
        <v>935</v>
      </c>
      <c r="F719" s="32" t="s">
        <v>275</v>
      </c>
      <c r="G719" s="397">
        <v>302.7</v>
      </c>
      <c r="H719" s="397">
        <v>314.89999999999998</v>
      </c>
      <c r="I719" s="192"/>
    </row>
    <row r="720" spans="1:9" ht="15.75" x14ac:dyDescent="0.25">
      <c r="A720" s="394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393">
        <f>G721</f>
        <v>5745.1</v>
      </c>
      <c r="H720" s="393">
        <f>H721</f>
        <v>5745.1</v>
      </c>
      <c r="I720" s="192"/>
    </row>
    <row r="721" spans="1:9" ht="31.5" x14ac:dyDescent="0.25">
      <c r="A721" s="394" t="s">
        <v>1357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393">
        <f>G722</f>
        <v>5745.1</v>
      </c>
      <c r="H721" s="393">
        <f>H722</f>
        <v>5745.1</v>
      </c>
      <c r="I721" s="192"/>
    </row>
    <row r="722" spans="1:9" ht="31.5" x14ac:dyDescent="0.25">
      <c r="A722" s="394" t="s">
        <v>942</v>
      </c>
      <c r="B722" s="19">
        <v>906</v>
      </c>
      <c r="C722" s="24" t="s">
        <v>264</v>
      </c>
      <c r="D722" s="24" t="s">
        <v>264</v>
      </c>
      <c r="E722" s="24" t="s">
        <v>1237</v>
      </c>
      <c r="F722" s="24"/>
      <c r="G722" s="393">
        <f>G723+G726</f>
        <v>5745.1</v>
      </c>
      <c r="H722" s="393">
        <f>H723+H726</f>
        <v>5745.1</v>
      </c>
      <c r="I722" s="192"/>
    </row>
    <row r="723" spans="1:9" ht="31.5" x14ac:dyDescent="0.25">
      <c r="A723" s="31" t="s">
        <v>1060</v>
      </c>
      <c r="B723" s="16">
        <v>906</v>
      </c>
      <c r="C723" s="20" t="s">
        <v>264</v>
      </c>
      <c r="D723" s="20" t="s">
        <v>264</v>
      </c>
      <c r="E723" s="20" t="s">
        <v>1259</v>
      </c>
      <c r="F723" s="20"/>
      <c r="G723" s="397">
        <f>G724</f>
        <v>5745.1</v>
      </c>
      <c r="H723" s="397">
        <f>H724</f>
        <v>5745.1</v>
      </c>
      <c r="I723" s="192"/>
    </row>
    <row r="724" spans="1:9" ht="31.5" x14ac:dyDescent="0.25">
      <c r="A724" s="396" t="s">
        <v>272</v>
      </c>
      <c r="B724" s="16">
        <v>906</v>
      </c>
      <c r="C724" s="20" t="s">
        <v>264</v>
      </c>
      <c r="D724" s="20" t="s">
        <v>264</v>
      </c>
      <c r="E724" s="20" t="s">
        <v>1259</v>
      </c>
      <c r="F724" s="20" t="s">
        <v>273</v>
      </c>
      <c r="G724" s="397">
        <f>G725</f>
        <v>5745.1</v>
      </c>
      <c r="H724" s="397">
        <f>H725</f>
        <v>5745.1</v>
      </c>
      <c r="I724" s="192"/>
    </row>
    <row r="725" spans="1:9" ht="15.75" x14ac:dyDescent="0.25">
      <c r="A725" s="396" t="s">
        <v>274</v>
      </c>
      <c r="B725" s="16">
        <v>906</v>
      </c>
      <c r="C725" s="20" t="s">
        <v>264</v>
      </c>
      <c r="D725" s="20" t="s">
        <v>264</v>
      </c>
      <c r="E725" s="20" t="s">
        <v>1259</v>
      </c>
      <c r="F725" s="20" t="s">
        <v>275</v>
      </c>
      <c r="G725" s="397">
        <v>5745.1</v>
      </c>
      <c r="H725" s="397">
        <v>5745.1</v>
      </c>
      <c r="I725" s="192"/>
    </row>
    <row r="726" spans="1:9" ht="31.5" hidden="1" x14ac:dyDescent="0.25">
      <c r="A726" s="31" t="s">
        <v>1180</v>
      </c>
      <c r="B726" s="16">
        <v>906</v>
      </c>
      <c r="C726" s="20" t="s">
        <v>264</v>
      </c>
      <c r="D726" s="20" t="s">
        <v>264</v>
      </c>
      <c r="E726" s="20" t="s">
        <v>1260</v>
      </c>
      <c r="F726" s="20"/>
      <c r="G726" s="397">
        <f>G727</f>
        <v>0</v>
      </c>
      <c r="H726" s="397">
        <f>H727</f>
        <v>0</v>
      </c>
      <c r="I726" s="192"/>
    </row>
    <row r="727" spans="1:9" ht="31.5" hidden="1" x14ac:dyDescent="0.25">
      <c r="A727" s="396" t="s">
        <v>272</v>
      </c>
      <c r="B727" s="16">
        <v>906</v>
      </c>
      <c r="C727" s="20" t="s">
        <v>264</v>
      </c>
      <c r="D727" s="20" t="s">
        <v>264</v>
      </c>
      <c r="E727" s="20" t="s">
        <v>1260</v>
      </c>
      <c r="F727" s="20" t="s">
        <v>273</v>
      </c>
      <c r="G727" s="397">
        <f>G728</f>
        <v>0</v>
      </c>
      <c r="H727" s="397">
        <f>H728</f>
        <v>0</v>
      </c>
      <c r="I727" s="192"/>
    </row>
    <row r="728" spans="1:9" ht="15.75" hidden="1" x14ac:dyDescent="0.25">
      <c r="A728" s="396" t="s">
        <v>274</v>
      </c>
      <c r="B728" s="16">
        <v>906</v>
      </c>
      <c r="C728" s="20" t="s">
        <v>264</v>
      </c>
      <c r="D728" s="20" t="s">
        <v>264</v>
      </c>
      <c r="E728" s="20" t="s">
        <v>1260</v>
      </c>
      <c r="F728" s="20" t="s">
        <v>275</v>
      </c>
      <c r="G728" s="397">
        <v>0</v>
      </c>
      <c r="H728" s="397">
        <v>0</v>
      </c>
      <c r="I728" s="192"/>
    </row>
    <row r="729" spans="1:9" ht="15.75" x14ac:dyDescent="0.25">
      <c r="A729" s="394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393">
        <f>G730+G740</f>
        <v>19831.8</v>
      </c>
      <c r="H729" s="393">
        <f>H730+H740</f>
        <v>19831.8</v>
      </c>
      <c r="I729" s="192"/>
    </row>
    <row r="730" spans="1:9" ht="44.1" customHeight="1" x14ac:dyDescent="0.25">
      <c r="A730" s="394" t="s">
        <v>916</v>
      </c>
      <c r="B730" s="19">
        <v>906</v>
      </c>
      <c r="C730" s="24" t="s">
        <v>264</v>
      </c>
      <c r="D730" s="24" t="s">
        <v>219</v>
      </c>
      <c r="E730" s="24" t="s">
        <v>857</v>
      </c>
      <c r="F730" s="24"/>
      <c r="G730" s="393">
        <f>G731</f>
        <v>6048.7</v>
      </c>
      <c r="H730" s="393">
        <f>H731</f>
        <v>6048.7</v>
      </c>
      <c r="I730" s="192"/>
    </row>
    <row r="731" spans="1:9" ht="15.75" x14ac:dyDescent="0.25">
      <c r="A731" s="394" t="s">
        <v>917</v>
      </c>
      <c r="B731" s="19">
        <v>906</v>
      </c>
      <c r="C731" s="24" t="s">
        <v>264</v>
      </c>
      <c r="D731" s="24" t="s">
        <v>219</v>
      </c>
      <c r="E731" s="24" t="s">
        <v>858</v>
      </c>
      <c r="F731" s="24"/>
      <c r="G731" s="393">
        <f>G732+G737</f>
        <v>6048.7</v>
      </c>
      <c r="H731" s="393">
        <f>H732+H737</f>
        <v>6048.7</v>
      </c>
      <c r="I731" s="192"/>
    </row>
    <row r="732" spans="1:9" ht="31.5" x14ac:dyDescent="0.25">
      <c r="A732" s="396" t="s">
        <v>896</v>
      </c>
      <c r="B732" s="16">
        <v>906</v>
      </c>
      <c r="C732" s="20" t="s">
        <v>264</v>
      </c>
      <c r="D732" s="20" t="s">
        <v>219</v>
      </c>
      <c r="E732" s="20" t="s">
        <v>859</v>
      </c>
      <c r="F732" s="20"/>
      <c r="G732" s="397">
        <f>G733+G735</f>
        <v>5922.7</v>
      </c>
      <c r="H732" s="397">
        <f>H733+H735</f>
        <v>5922.7</v>
      </c>
      <c r="I732" s="192"/>
    </row>
    <row r="733" spans="1:9" ht="78.75" x14ac:dyDescent="0.25">
      <c r="A733" s="396" t="s">
        <v>127</v>
      </c>
      <c r="B733" s="16">
        <v>906</v>
      </c>
      <c r="C733" s="20" t="s">
        <v>264</v>
      </c>
      <c r="D733" s="20" t="s">
        <v>219</v>
      </c>
      <c r="E733" s="20" t="s">
        <v>859</v>
      </c>
      <c r="F733" s="20" t="s">
        <v>128</v>
      </c>
      <c r="G733" s="397">
        <f>G734</f>
        <v>5710.7</v>
      </c>
      <c r="H733" s="397">
        <f>H734</f>
        <v>5710.7</v>
      </c>
      <c r="I733" s="192"/>
    </row>
    <row r="734" spans="1:9" ht="31.5" x14ac:dyDescent="0.25">
      <c r="A734" s="396" t="s">
        <v>129</v>
      </c>
      <c r="B734" s="16">
        <v>906</v>
      </c>
      <c r="C734" s="20" t="s">
        <v>264</v>
      </c>
      <c r="D734" s="20" t="s">
        <v>219</v>
      </c>
      <c r="E734" s="20" t="s">
        <v>859</v>
      </c>
      <c r="F734" s="20" t="s">
        <v>130</v>
      </c>
      <c r="G734" s="397">
        <v>5710.7</v>
      </c>
      <c r="H734" s="397">
        <f t="shared" si="66"/>
        <v>5710.7</v>
      </c>
      <c r="I734" s="192"/>
    </row>
    <row r="735" spans="1:9" ht="31.5" x14ac:dyDescent="0.25">
      <c r="A735" s="396" t="s">
        <v>131</v>
      </c>
      <c r="B735" s="16">
        <v>906</v>
      </c>
      <c r="C735" s="20" t="s">
        <v>264</v>
      </c>
      <c r="D735" s="20" t="s">
        <v>219</v>
      </c>
      <c r="E735" s="20" t="s">
        <v>859</v>
      </c>
      <c r="F735" s="20" t="s">
        <v>132</v>
      </c>
      <c r="G735" s="397">
        <f>G736</f>
        <v>212</v>
      </c>
      <c r="H735" s="397">
        <f>H736</f>
        <v>212</v>
      </c>
      <c r="I735" s="192"/>
    </row>
    <row r="736" spans="1:9" ht="31.5" x14ac:dyDescent="0.25">
      <c r="A736" s="396" t="s">
        <v>133</v>
      </c>
      <c r="B736" s="16">
        <v>906</v>
      </c>
      <c r="C736" s="20" t="s">
        <v>264</v>
      </c>
      <c r="D736" s="20" t="s">
        <v>219</v>
      </c>
      <c r="E736" s="20" t="s">
        <v>859</v>
      </c>
      <c r="F736" s="20" t="s">
        <v>134</v>
      </c>
      <c r="G736" s="397">
        <f>212</f>
        <v>212</v>
      </c>
      <c r="H736" s="397">
        <f t="shared" si="66"/>
        <v>212</v>
      </c>
      <c r="I736" s="192"/>
    </row>
    <row r="737" spans="1:9" ht="47.25" x14ac:dyDescent="0.25">
      <c r="A737" s="396" t="s">
        <v>838</v>
      </c>
      <c r="B737" s="16">
        <v>906</v>
      </c>
      <c r="C737" s="20" t="s">
        <v>264</v>
      </c>
      <c r="D737" s="20" t="s">
        <v>219</v>
      </c>
      <c r="E737" s="20" t="s">
        <v>861</v>
      </c>
      <c r="F737" s="20"/>
      <c r="G737" s="397">
        <f>G738</f>
        <v>126</v>
      </c>
      <c r="H737" s="397">
        <f>H738</f>
        <v>126</v>
      </c>
      <c r="I737" s="192"/>
    </row>
    <row r="738" spans="1:9" ht="78.75" x14ac:dyDescent="0.25">
      <c r="A738" s="396" t="s">
        <v>127</v>
      </c>
      <c r="B738" s="16">
        <v>906</v>
      </c>
      <c r="C738" s="20" t="s">
        <v>264</v>
      </c>
      <c r="D738" s="20" t="s">
        <v>219</v>
      </c>
      <c r="E738" s="20" t="s">
        <v>861</v>
      </c>
      <c r="F738" s="20" t="s">
        <v>128</v>
      </c>
      <c r="G738" s="397">
        <f>G739</f>
        <v>126</v>
      </c>
      <c r="H738" s="397">
        <f>H739</f>
        <v>126</v>
      </c>
      <c r="I738" s="192"/>
    </row>
    <row r="739" spans="1:9" ht="31.5" x14ac:dyDescent="0.25">
      <c r="A739" s="396" t="s">
        <v>129</v>
      </c>
      <c r="B739" s="16">
        <v>906</v>
      </c>
      <c r="C739" s="20" t="s">
        <v>264</v>
      </c>
      <c r="D739" s="20" t="s">
        <v>219</v>
      </c>
      <c r="E739" s="20" t="s">
        <v>861</v>
      </c>
      <c r="F739" s="20" t="s">
        <v>130</v>
      </c>
      <c r="G739" s="397">
        <f>126</f>
        <v>126</v>
      </c>
      <c r="H739" s="397">
        <f t="shared" si="66"/>
        <v>126</v>
      </c>
      <c r="I739" s="192"/>
    </row>
    <row r="740" spans="1:9" ht="15.75" x14ac:dyDescent="0.25">
      <c r="A740" s="394" t="s">
        <v>141</v>
      </c>
      <c r="B740" s="19">
        <v>906</v>
      </c>
      <c r="C740" s="24" t="s">
        <v>264</v>
      </c>
      <c r="D740" s="24" t="s">
        <v>219</v>
      </c>
      <c r="E740" s="24" t="s">
        <v>865</v>
      </c>
      <c r="F740" s="24"/>
      <c r="G740" s="393">
        <f>G741+G745</f>
        <v>13783.1</v>
      </c>
      <c r="H740" s="393">
        <f>H741+H745</f>
        <v>13783.1</v>
      </c>
      <c r="I740" s="192"/>
    </row>
    <row r="741" spans="1:9" ht="31.5" x14ac:dyDescent="0.25">
      <c r="A741" s="394" t="s">
        <v>869</v>
      </c>
      <c r="B741" s="19">
        <v>906</v>
      </c>
      <c r="C741" s="24" t="s">
        <v>264</v>
      </c>
      <c r="D741" s="24" t="s">
        <v>219</v>
      </c>
      <c r="E741" s="24" t="s">
        <v>864</v>
      </c>
      <c r="F741" s="24"/>
      <c r="G741" s="393">
        <f t="shared" ref="G741:H743" si="69">G742</f>
        <v>300</v>
      </c>
      <c r="H741" s="393">
        <f t="shared" si="69"/>
        <v>300</v>
      </c>
      <c r="I741" s="192"/>
    </row>
    <row r="742" spans="1:9" ht="15.75" x14ac:dyDescent="0.25">
      <c r="A742" s="396" t="s">
        <v>478</v>
      </c>
      <c r="B742" s="16">
        <v>906</v>
      </c>
      <c r="C742" s="20" t="s">
        <v>264</v>
      </c>
      <c r="D742" s="20" t="s">
        <v>219</v>
      </c>
      <c r="E742" s="20" t="s">
        <v>943</v>
      </c>
      <c r="F742" s="20"/>
      <c r="G742" s="397">
        <f t="shared" si="69"/>
        <v>300</v>
      </c>
      <c r="H742" s="397">
        <f t="shared" si="69"/>
        <v>300</v>
      </c>
      <c r="I742" s="192"/>
    </row>
    <row r="743" spans="1:9" ht="31.5" x14ac:dyDescent="0.25">
      <c r="A743" s="396" t="s">
        <v>131</v>
      </c>
      <c r="B743" s="16">
        <v>906</v>
      </c>
      <c r="C743" s="20" t="s">
        <v>264</v>
      </c>
      <c r="D743" s="20" t="s">
        <v>219</v>
      </c>
      <c r="E743" s="20" t="s">
        <v>943</v>
      </c>
      <c r="F743" s="20" t="s">
        <v>132</v>
      </c>
      <c r="G743" s="397">
        <f t="shared" si="69"/>
        <v>300</v>
      </c>
      <c r="H743" s="397">
        <f t="shared" si="69"/>
        <v>300</v>
      </c>
      <c r="I743" s="192"/>
    </row>
    <row r="744" spans="1:9" ht="33.950000000000003" customHeight="1" x14ac:dyDescent="0.25">
      <c r="A744" s="396" t="s">
        <v>133</v>
      </c>
      <c r="B744" s="16">
        <v>906</v>
      </c>
      <c r="C744" s="20" t="s">
        <v>264</v>
      </c>
      <c r="D744" s="20" t="s">
        <v>219</v>
      </c>
      <c r="E744" s="20" t="s">
        <v>943</v>
      </c>
      <c r="F744" s="20" t="s">
        <v>134</v>
      </c>
      <c r="G744" s="397">
        <v>300</v>
      </c>
      <c r="H744" s="397">
        <f t="shared" si="66"/>
        <v>300</v>
      </c>
      <c r="I744" s="192"/>
    </row>
    <row r="745" spans="1:9" ht="31.5" x14ac:dyDescent="0.25">
      <c r="A745" s="394" t="s">
        <v>928</v>
      </c>
      <c r="B745" s="19">
        <v>906</v>
      </c>
      <c r="C745" s="24" t="s">
        <v>264</v>
      </c>
      <c r="D745" s="24" t="s">
        <v>219</v>
      </c>
      <c r="E745" s="24" t="s">
        <v>913</v>
      </c>
      <c r="F745" s="24"/>
      <c r="G745" s="393">
        <f>G746+G753</f>
        <v>13483.1</v>
      </c>
      <c r="H745" s="393">
        <f>H746+H753</f>
        <v>13483.1</v>
      </c>
      <c r="I745" s="192"/>
    </row>
    <row r="746" spans="1:9" ht="31.5" x14ac:dyDescent="0.25">
      <c r="A746" s="396" t="s">
        <v>1084</v>
      </c>
      <c r="B746" s="16">
        <v>906</v>
      </c>
      <c r="C746" s="20" t="s">
        <v>264</v>
      </c>
      <c r="D746" s="20" t="s">
        <v>219</v>
      </c>
      <c r="E746" s="20" t="s">
        <v>914</v>
      </c>
      <c r="F746" s="20"/>
      <c r="G746" s="397">
        <f>G747+G749+G751</f>
        <v>12977.1</v>
      </c>
      <c r="H746" s="397">
        <f>H747+H749+H751</f>
        <v>12977.1</v>
      </c>
      <c r="I746" s="192"/>
    </row>
    <row r="747" spans="1:9" ht="78.75" x14ac:dyDescent="0.25">
      <c r="A747" s="396" t="s">
        <v>127</v>
      </c>
      <c r="B747" s="16">
        <v>906</v>
      </c>
      <c r="C747" s="20" t="s">
        <v>264</v>
      </c>
      <c r="D747" s="20" t="s">
        <v>219</v>
      </c>
      <c r="E747" s="20" t="s">
        <v>914</v>
      </c>
      <c r="F747" s="20" t="s">
        <v>128</v>
      </c>
      <c r="G747" s="397">
        <f>G748</f>
        <v>11885.1</v>
      </c>
      <c r="H747" s="397">
        <f t="shared" si="66"/>
        <v>11885.1</v>
      </c>
      <c r="I747" s="192"/>
    </row>
    <row r="748" spans="1:9" ht="31.5" x14ac:dyDescent="0.25">
      <c r="A748" s="396" t="s">
        <v>342</v>
      </c>
      <c r="B748" s="16">
        <v>906</v>
      </c>
      <c r="C748" s="20" t="s">
        <v>264</v>
      </c>
      <c r="D748" s="20" t="s">
        <v>219</v>
      </c>
      <c r="E748" s="20" t="s">
        <v>914</v>
      </c>
      <c r="F748" s="20" t="s">
        <v>209</v>
      </c>
      <c r="G748" s="397">
        <v>11885.1</v>
      </c>
      <c r="H748" s="397">
        <f t="shared" si="66"/>
        <v>11885.1</v>
      </c>
      <c r="I748" s="192"/>
    </row>
    <row r="749" spans="1:9" ht="31.5" x14ac:dyDescent="0.25">
      <c r="A749" s="396" t="s">
        <v>131</v>
      </c>
      <c r="B749" s="16">
        <v>906</v>
      </c>
      <c r="C749" s="20" t="s">
        <v>264</v>
      </c>
      <c r="D749" s="20" t="s">
        <v>219</v>
      </c>
      <c r="E749" s="20" t="s">
        <v>914</v>
      </c>
      <c r="F749" s="20" t="s">
        <v>132</v>
      </c>
      <c r="G749" s="397">
        <f>G750</f>
        <v>1077</v>
      </c>
      <c r="H749" s="397">
        <f t="shared" si="66"/>
        <v>1077</v>
      </c>
      <c r="I749" s="192"/>
    </row>
    <row r="750" spans="1:9" ht="31.5" x14ac:dyDescent="0.25">
      <c r="A750" s="396" t="s">
        <v>133</v>
      </c>
      <c r="B750" s="16">
        <v>906</v>
      </c>
      <c r="C750" s="20" t="s">
        <v>264</v>
      </c>
      <c r="D750" s="20" t="s">
        <v>219</v>
      </c>
      <c r="E750" s="20" t="s">
        <v>914</v>
      </c>
      <c r="F750" s="20" t="s">
        <v>134</v>
      </c>
      <c r="G750" s="397">
        <f>1077</f>
        <v>1077</v>
      </c>
      <c r="H750" s="397">
        <f t="shared" si="66"/>
        <v>1077</v>
      </c>
      <c r="I750" s="192"/>
    </row>
    <row r="751" spans="1:9" ht="15.75" x14ac:dyDescent="0.25">
      <c r="A751" s="396" t="s">
        <v>135</v>
      </c>
      <c r="B751" s="16">
        <v>906</v>
      </c>
      <c r="C751" s="20" t="s">
        <v>264</v>
      </c>
      <c r="D751" s="20" t="s">
        <v>219</v>
      </c>
      <c r="E751" s="20" t="s">
        <v>914</v>
      </c>
      <c r="F751" s="20" t="s">
        <v>145</v>
      </c>
      <c r="G751" s="397">
        <f>G752</f>
        <v>15</v>
      </c>
      <c r="H751" s="397">
        <f t="shared" si="66"/>
        <v>15</v>
      </c>
      <c r="I751" s="192"/>
    </row>
    <row r="752" spans="1:9" ht="15.75" x14ac:dyDescent="0.25">
      <c r="A752" s="396" t="s">
        <v>568</v>
      </c>
      <c r="B752" s="16">
        <v>906</v>
      </c>
      <c r="C752" s="20" t="s">
        <v>264</v>
      </c>
      <c r="D752" s="20" t="s">
        <v>219</v>
      </c>
      <c r="E752" s="20" t="s">
        <v>914</v>
      </c>
      <c r="F752" s="20" t="s">
        <v>138</v>
      </c>
      <c r="G752" s="397">
        <f>15</f>
        <v>15</v>
      </c>
      <c r="H752" s="397">
        <f t="shared" si="66"/>
        <v>15</v>
      </c>
      <c r="I752" s="192"/>
    </row>
    <row r="753" spans="1:9" ht="47.25" x14ac:dyDescent="0.25">
      <c r="A753" s="396" t="s">
        <v>838</v>
      </c>
      <c r="B753" s="16">
        <v>906</v>
      </c>
      <c r="C753" s="20" t="s">
        <v>264</v>
      </c>
      <c r="D753" s="20" t="s">
        <v>219</v>
      </c>
      <c r="E753" s="20" t="s">
        <v>915</v>
      </c>
      <c r="F753" s="20"/>
      <c r="G753" s="397">
        <f>G754</f>
        <v>506</v>
      </c>
      <c r="H753" s="397">
        <f>H754</f>
        <v>506</v>
      </c>
      <c r="I753" s="192"/>
    </row>
    <row r="754" spans="1:9" ht="78.75" x14ac:dyDescent="0.25">
      <c r="A754" s="396" t="s">
        <v>127</v>
      </c>
      <c r="B754" s="16">
        <v>906</v>
      </c>
      <c r="C754" s="20" t="s">
        <v>264</v>
      </c>
      <c r="D754" s="20" t="s">
        <v>219</v>
      </c>
      <c r="E754" s="20" t="s">
        <v>915</v>
      </c>
      <c r="F754" s="20" t="s">
        <v>128</v>
      </c>
      <c r="G754" s="397">
        <f>G755</f>
        <v>506</v>
      </c>
      <c r="H754" s="397">
        <f>H755</f>
        <v>506</v>
      </c>
      <c r="I754" s="192"/>
    </row>
    <row r="755" spans="1:9" ht="31.5" x14ac:dyDescent="0.25">
      <c r="A755" s="396" t="s">
        <v>342</v>
      </c>
      <c r="B755" s="16">
        <v>906</v>
      </c>
      <c r="C755" s="20" t="s">
        <v>264</v>
      </c>
      <c r="D755" s="20" t="s">
        <v>219</v>
      </c>
      <c r="E755" s="20" t="s">
        <v>915</v>
      </c>
      <c r="F755" s="20" t="s">
        <v>209</v>
      </c>
      <c r="G755" s="397">
        <v>506</v>
      </c>
      <c r="H755" s="397">
        <v>506</v>
      </c>
      <c r="I755" s="192"/>
    </row>
    <row r="756" spans="1:9" ht="31.5" x14ac:dyDescent="0.25">
      <c r="A756" s="391" t="s">
        <v>1367</v>
      </c>
      <c r="B756" s="19">
        <v>907</v>
      </c>
      <c r="C756" s="20"/>
      <c r="D756" s="20"/>
      <c r="E756" s="20"/>
      <c r="F756" s="20"/>
      <c r="G756" s="393">
        <f>G764+G757</f>
        <v>64081.399999999994</v>
      </c>
      <c r="H756" s="393">
        <f>H764+H757</f>
        <v>64012.600000000006</v>
      </c>
      <c r="I756" s="192"/>
    </row>
    <row r="757" spans="1:9" s="191" customFormat="1" ht="15.75" x14ac:dyDescent="0.25">
      <c r="A757" s="394" t="s">
        <v>117</v>
      </c>
      <c r="B757" s="19">
        <v>907</v>
      </c>
      <c r="C757" s="24" t="s">
        <v>118</v>
      </c>
      <c r="D757" s="24"/>
      <c r="E757" s="24"/>
      <c r="F757" s="24"/>
      <c r="G757" s="393">
        <f t="shared" ref="G757:H758" si="70">G758</f>
        <v>100</v>
      </c>
      <c r="H757" s="393">
        <f t="shared" si="70"/>
        <v>0</v>
      </c>
      <c r="I757" s="192"/>
    </row>
    <row r="758" spans="1:9" s="191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393">
        <f t="shared" si="70"/>
        <v>100</v>
      </c>
      <c r="H758" s="393">
        <f t="shared" si="70"/>
        <v>0</v>
      </c>
      <c r="I758" s="192"/>
    </row>
    <row r="759" spans="1:9" s="191" customFormat="1" ht="47.25" x14ac:dyDescent="0.25">
      <c r="A759" s="394" t="s">
        <v>1348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393">
        <f t="shared" ref="G759:H762" si="71">G760</f>
        <v>100</v>
      </c>
      <c r="H759" s="393">
        <f t="shared" si="71"/>
        <v>0</v>
      </c>
      <c r="I759" s="192"/>
    </row>
    <row r="760" spans="1:9" s="191" customFormat="1" ht="31.5" x14ac:dyDescent="0.25">
      <c r="A760" s="197" t="s">
        <v>1050</v>
      </c>
      <c r="B760" s="19">
        <v>907</v>
      </c>
      <c r="C760" s="24" t="s">
        <v>118</v>
      </c>
      <c r="D760" s="24" t="s">
        <v>140</v>
      </c>
      <c r="E760" s="24" t="s">
        <v>1051</v>
      </c>
      <c r="F760" s="24"/>
      <c r="G760" s="393">
        <f t="shared" si="71"/>
        <v>100</v>
      </c>
      <c r="H760" s="393">
        <f t="shared" si="71"/>
        <v>0</v>
      </c>
      <c r="I760" s="192"/>
    </row>
    <row r="761" spans="1:9" s="191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1052</v>
      </c>
      <c r="F761" s="20"/>
      <c r="G761" s="397">
        <f t="shared" si="71"/>
        <v>100</v>
      </c>
      <c r="H761" s="397">
        <f t="shared" si="71"/>
        <v>0</v>
      </c>
      <c r="I761" s="192"/>
    </row>
    <row r="762" spans="1:9" s="191" customFormat="1" ht="31.5" x14ac:dyDescent="0.25">
      <c r="A762" s="396" t="s">
        <v>131</v>
      </c>
      <c r="B762" s="16">
        <v>907</v>
      </c>
      <c r="C762" s="20" t="s">
        <v>118</v>
      </c>
      <c r="D762" s="20" t="s">
        <v>140</v>
      </c>
      <c r="E762" s="20" t="s">
        <v>1052</v>
      </c>
      <c r="F762" s="20" t="s">
        <v>132</v>
      </c>
      <c r="G762" s="397">
        <f t="shared" si="71"/>
        <v>100</v>
      </c>
      <c r="H762" s="397">
        <f t="shared" si="71"/>
        <v>0</v>
      </c>
      <c r="I762" s="192"/>
    </row>
    <row r="763" spans="1:9" s="191" customFormat="1" ht="31.5" x14ac:dyDescent="0.25">
      <c r="A763" s="396" t="s">
        <v>133</v>
      </c>
      <c r="B763" s="16">
        <v>907</v>
      </c>
      <c r="C763" s="20" t="s">
        <v>118</v>
      </c>
      <c r="D763" s="20" t="s">
        <v>140</v>
      </c>
      <c r="E763" s="20" t="s">
        <v>1052</v>
      </c>
      <c r="F763" s="20" t="s">
        <v>134</v>
      </c>
      <c r="G763" s="397">
        <v>100</v>
      </c>
      <c r="H763" s="397">
        <v>0</v>
      </c>
      <c r="I763" s="192"/>
    </row>
    <row r="764" spans="1:9" ht="15.75" x14ac:dyDescent="0.25">
      <c r="A764" s="394" t="s">
        <v>490</v>
      </c>
      <c r="B764" s="19">
        <v>907</v>
      </c>
      <c r="C764" s="24" t="s">
        <v>491</v>
      </c>
      <c r="D764" s="20"/>
      <c r="E764" s="20"/>
      <c r="F764" s="20"/>
      <c r="G764" s="393">
        <f>G765+G803</f>
        <v>63981.399999999994</v>
      </c>
      <c r="H764" s="393">
        <f>H765+H803</f>
        <v>64012.600000000006</v>
      </c>
      <c r="I764" s="192"/>
    </row>
    <row r="765" spans="1:9" ht="15.75" x14ac:dyDescent="0.25">
      <c r="A765" s="394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393">
        <f>G766+G798+G793</f>
        <v>50452.2</v>
      </c>
      <c r="H765" s="393">
        <f>H766+H798+H793</f>
        <v>50483.4</v>
      </c>
      <c r="I765" s="192"/>
    </row>
    <row r="766" spans="1:9" ht="47.25" x14ac:dyDescent="0.25">
      <c r="A766" s="394" t="s">
        <v>1368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393">
        <f>G767+G778+G782+G789</f>
        <v>49873.1</v>
      </c>
      <c r="H766" s="393">
        <f>H767+H778+H782+H789</f>
        <v>49873.1</v>
      </c>
      <c r="I766" s="192"/>
    </row>
    <row r="767" spans="1:9" ht="31.5" x14ac:dyDescent="0.25">
      <c r="A767" s="394" t="s">
        <v>936</v>
      </c>
      <c r="B767" s="19">
        <v>907</v>
      </c>
      <c r="C767" s="24" t="s">
        <v>491</v>
      </c>
      <c r="D767" s="24" t="s">
        <v>118</v>
      </c>
      <c r="E767" s="24" t="s">
        <v>1261</v>
      </c>
      <c r="F767" s="24"/>
      <c r="G767" s="393">
        <f t="shared" ref="G767:H769" si="72">G768</f>
        <v>47819.6</v>
      </c>
      <c r="H767" s="393">
        <f t="shared" si="72"/>
        <v>47819.6</v>
      </c>
      <c r="I767" s="192"/>
    </row>
    <row r="768" spans="1:9" ht="31.5" x14ac:dyDescent="0.25">
      <c r="A768" s="396" t="s">
        <v>1291</v>
      </c>
      <c r="B768" s="16">
        <v>907</v>
      </c>
      <c r="C768" s="20" t="s">
        <v>491</v>
      </c>
      <c r="D768" s="20" t="s">
        <v>118</v>
      </c>
      <c r="E768" s="20" t="s">
        <v>1262</v>
      </c>
      <c r="F768" s="20"/>
      <c r="G768" s="397">
        <f t="shared" si="72"/>
        <v>47819.6</v>
      </c>
      <c r="H768" s="397">
        <f t="shared" si="72"/>
        <v>47819.6</v>
      </c>
      <c r="I768" s="192"/>
    </row>
    <row r="769" spans="1:9" ht="31.5" x14ac:dyDescent="0.25">
      <c r="A769" s="396" t="s">
        <v>272</v>
      </c>
      <c r="B769" s="16">
        <v>907</v>
      </c>
      <c r="C769" s="20" t="s">
        <v>491</v>
      </c>
      <c r="D769" s="20" t="s">
        <v>118</v>
      </c>
      <c r="E769" s="20" t="s">
        <v>1262</v>
      </c>
      <c r="F769" s="20" t="s">
        <v>273</v>
      </c>
      <c r="G769" s="397">
        <f t="shared" si="72"/>
        <v>47819.6</v>
      </c>
      <c r="H769" s="397">
        <f t="shared" si="72"/>
        <v>47819.6</v>
      </c>
      <c r="I769" s="192"/>
    </row>
    <row r="770" spans="1:9" ht="15.75" x14ac:dyDescent="0.25">
      <c r="A770" s="396" t="s">
        <v>274</v>
      </c>
      <c r="B770" s="16">
        <v>907</v>
      </c>
      <c r="C770" s="20" t="s">
        <v>491</v>
      </c>
      <c r="D770" s="20" t="s">
        <v>118</v>
      </c>
      <c r="E770" s="20" t="s">
        <v>1262</v>
      </c>
      <c r="F770" s="20" t="s">
        <v>275</v>
      </c>
      <c r="G770" s="397">
        <v>47819.6</v>
      </c>
      <c r="H770" s="397">
        <f t="shared" si="66"/>
        <v>47819.6</v>
      </c>
      <c r="I770" s="192"/>
    </row>
    <row r="771" spans="1:9" ht="31.5" x14ac:dyDescent="0.25">
      <c r="A771" s="394" t="s">
        <v>944</v>
      </c>
      <c r="B771" s="19">
        <v>907</v>
      </c>
      <c r="C771" s="24" t="s">
        <v>491</v>
      </c>
      <c r="D771" s="24" t="s">
        <v>118</v>
      </c>
      <c r="E771" s="24" t="s">
        <v>945</v>
      </c>
      <c r="F771" s="24"/>
      <c r="G771" s="44">
        <f>G772+G775+G779</f>
        <v>36</v>
      </c>
      <c r="H771" s="44">
        <f>H772+H775+H779</f>
        <v>36</v>
      </c>
      <c r="I771" s="192"/>
    </row>
    <row r="772" spans="1:9" ht="31.5" hidden="1" x14ac:dyDescent="0.25">
      <c r="A772" s="396" t="s">
        <v>278</v>
      </c>
      <c r="B772" s="16">
        <v>907</v>
      </c>
      <c r="C772" s="20" t="s">
        <v>491</v>
      </c>
      <c r="D772" s="20" t="s">
        <v>118</v>
      </c>
      <c r="E772" s="20" t="s">
        <v>948</v>
      </c>
      <c r="F772" s="20"/>
      <c r="G772" s="397">
        <f>G773</f>
        <v>0</v>
      </c>
      <c r="H772" s="397">
        <f t="shared" ref="H772:H830" si="73">G772</f>
        <v>0</v>
      </c>
      <c r="I772" s="192"/>
    </row>
    <row r="773" spans="1:9" ht="31.5" hidden="1" x14ac:dyDescent="0.25">
      <c r="A773" s="396" t="s">
        <v>272</v>
      </c>
      <c r="B773" s="16">
        <v>907</v>
      </c>
      <c r="C773" s="20" t="s">
        <v>491</v>
      </c>
      <c r="D773" s="20" t="s">
        <v>118</v>
      </c>
      <c r="E773" s="20" t="s">
        <v>948</v>
      </c>
      <c r="F773" s="20" t="s">
        <v>273</v>
      </c>
      <c r="G773" s="397">
        <f>G774</f>
        <v>0</v>
      </c>
      <c r="H773" s="397">
        <f t="shared" si="73"/>
        <v>0</v>
      </c>
      <c r="I773" s="192"/>
    </row>
    <row r="774" spans="1:9" ht="15.75" hidden="1" x14ac:dyDescent="0.25">
      <c r="A774" s="396" t="s">
        <v>274</v>
      </c>
      <c r="B774" s="16">
        <v>907</v>
      </c>
      <c r="C774" s="20" t="s">
        <v>491</v>
      </c>
      <c r="D774" s="20" t="s">
        <v>118</v>
      </c>
      <c r="E774" s="20" t="s">
        <v>948</v>
      </c>
      <c r="F774" s="20" t="s">
        <v>275</v>
      </c>
      <c r="G774" s="397">
        <v>0</v>
      </c>
      <c r="H774" s="397">
        <f t="shared" si="73"/>
        <v>0</v>
      </c>
      <c r="I774" s="192"/>
    </row>
    <row r="775" spans="1:9" ht="31.5" hidden="1" x14ac:dyDescent="0.25">
      <c r="A775" s="396" t="s">
        <v>280</v>
      </c>
      <c r="B775" s="16">
        <v>907</v>
      </c>
      <c r="C775" s="20" t="s">
        <v>491</v>
      </c>
      <c r="D775" s="20" t="s">
        <v>118</v>
      </c>
      <c r="E775" s="20" t="s">
        <v>949</v>
      </c>
      <c r="F775" s="20"/>
      <c r="G775" s="397">
        <f>G776</f>
        <v>0</v>
      </c>
      <c r="H775" s="397">
        <f>H776</f>
        <v>0</v>
      </c>
      <c r="I775" s="192"/>
    </row>
    <row r="776" spans="1:9" ht="31.5" hidden="1" x14ac:dyDescent="0.25">
      <c r="A776" s="396" t="s">
        <v>272</v>
      </c>
      <c r="B776" s="16">
        <v>907</v>
      </c>
      <c r="C776" s="20" t="s">
        <v>491</v>
      </c>
      <c r="D776" s="20" t="s">
        <v>118</v>
      </c>
      <c r="E776" s="20" t="s">
        <v>949</v>
      </c>
      <c r="F776" s="20" t="s">
        <v>273</v>
      </c>
      <c r="G776" s="397">
        <f>G777</f>
        <v>0</v>
      </c>
      <c r="H776" s="397">
        <f>H777</f>
        <v>0</v>
      </c>
      <c r="I776" s="192"/>
    </row>
    <row r="777" spans="1:9" ht="15.75" hidden="1" x14ac:dyDescent="0.25">
      <c r="A777" s="396" t="s">
        <v>274</v>
      </c>
      <c r="B777" s="16">
        <v>907</v>
      </c>
      <c r="C777" s="20" t="s">
        <v>491</v>
      </c>
      <c r="D777" s="20" t="s">
        <v>118</v>
      </c>
      <c r="E777" s="20" t="s">
        <v>949</v>
      </c>
      <c r="F777" s="20" t="s">
        <v>275</v>
      </c>
      <c r="G777" s="397">
        <v>0</v>
      </c>
      <c r="H777" s="397">
        <f t="shared" si="73"/>
        <v>0</v>
      </c>
      <c r="I777" s="192"/>
    </row>
    <row r="778" spans="1:9" s="191" customFormat="1" ht="31.5" x14ac:dyDescent="0.25">
      <c r="A778" s="394" t="s">
        <v>944</v>
      </c>
      <c r="B778" s="19">
        <v>907</v>
      </c>
      <c r="C778" s="24" t="s">
        <v>491</v>
      </c>
      <c r="D778" s="24" t="s">
        <v>118</v>
      </c>
      <c r="E778" s="24" t="s">
        <v>1263</v>
      </c>
      <c r="F778" s="20"/>
      <c r="G778" s="393">
        <f t="shared" ref="G778:H780" si="74">G779</f>
        <v>36</v>
      </c>
      <c r="H778" s="393">
        <f t="shared" si="74"/>
        <v>36</v>
      </c>
      <c r="I778" s="192"/>
    </row>
    <row r="779" spans="1:9" ht="15.75" x14ac:dyDescent="0.25">
      <c r="A779" s="396" t="s">
        <v>829</v>
      </c>
      <c r="B779" s="16">
        <v>907</v>
      </c>
      <c r="C779" s="20" t="s">
        <v>491</v>
      </c>
      <c r="D779" s="20" t="s">
        <v>118</v>
      </c>
      <c r="E779" s="20" t="s">
        <v>1264</v>
      </c>
      <c r="F779" s="20"/>
      <c r="G779" s="397">
        <f t="shared" si="74"/>
        <v>36</v>
      </c>
      <c r="H779" s="397">
        <f t="shared" si="74"/>
        <v>36</v>
      </c>
      <c r="I779" s="192"/>
    </row>
    <row r="780" spans="1:9" ht="31.5" x14ac:dyDescent="0.25">
      <c r="A780" s="396" t="s">
        <v>272</v>
      </c>
      <c r="B780" s="16">
        <v>907</v>
      </c>
      <c r="C780" s="20" t="s">
        <v>491</v>
      </c>
      <c r="D780" s="20" t="s">
        <v>118</v>
      </c>
      <c r="E780" s="20" t="s">
        <v>1264</v>
      </c>
      <c r="F780" s="20" t="s">
        <v>273</v>
      </c>
      <c r="G780" s="397">
        <f t="shared" si="74"/>
        <v>36</v>
      </c>
      <c r="H780" s="397">
        <f t="shared" si="74"/>
        <v>36</v>
      </c>
      <c r="I780" s="192"/>
    </row>
    <row r="781" spans="1:9" ht="15.75" x14ac:dyDescent="0.25">
      <c r="A781" s="396" t="s">
        <v>274</v>
      </c>
      <c r="B781" s="16">
        <v>907</v>
      </c>
      <c r="C781" s="20" t="s">
        <v>491</v>
      </c>
      <c r="D781" s="20" t="s">
        <v>118</v>
      </c>
      <c r="E781" s="20" t="s">
        <v>1264</v>
      </c>
      <c r="F781" s="20" t="s">
        <v>275</v>
      </c>
      <c r="G781" s="397">
        <f>36</f>
        <v>36</v>
      </c>
      <c r="H781" s="397">
        <f t="shared" si="73"/>
        <v>36</v>
      </c>
      <c r="I781" s="192"/>
    </row>
    <row r="782" spans="1:9" ht="31.5" x14ac:dyDescent="0.25">
      <c r="A782" s="394" t="s">
        <v>946</v>
      </c>
      <c r="B782" s="19">
        <v>907</v>
      </c>
      <c r="C782" s="24" t="s">
        <v>491</v>
      </c>
      <c r="D782" s="24" t="s">
        <v>118</v>
      </c>
      <c r="E782" s="24" t="s">
        <v>1265</v>
      </c>
      <c r="F782" s="24"/>
      <c r="G782" s="393">
        <f>G783+G786</f>
        <v>1204</v>
      </c>
      <c r="H782" s="393">
        <f>H783+H786</f>
        <v>1204</v>
      </c>
      <c r="I782" s="192"/>
    </row>
    <row r="783" spans="1:9" ht="31.5" hidden="1" x14ac:dyDescent="0.25">
      <c r="A783" s="396" t="s">
        <v>791</v>
      </c>
      <c r="B783" s="16">
        <v>907</v>
      </c>
      <c r="C783" s="20" t="s">
        <v>491</v>
      </c>
      <c r="D783" s="20" t="s">
        <v>118</v>
      </c>
      <c r="E783" s="20" t="s">
        <v>1303</v>
      </c>
      <c r="F783" s="20"/>
      <c r="G783" s="397">
        <f>G784</f>
        <v>0</v>
      </c>
      <c r="H783" s="397">
        <f t="shared" si="73"/>
        <v>0</v>
      </c>
      <c r="I783" s="192"/>
    </row>
    <row r="784" spans="1:9" ht="31.5" hidden="1" x14ac:dyDescent="0.25">
      <c r="A784" s="396" t="s">
        <v>272</v>
      </c>
      <c r="B784" s="16">
        <v>907</v>
      </c>
      <c r="C784" s="20" t="s">
        <v>491</v>
      </c>
      <c r="D784" s="20" t="s">
        <v>118</v>
      </c>
      <c r="E784" s="20" t="s">
        <v>1303</v>
      </c>
      <c r="F784" s="20" t="s">
        <v>273</v>
      </c>
      <c r="G784" s="397">
        <f>G785</f>
        <v>0</v>
      </c>
      <c r="H784" s="397">
        <f t="shared" si="73"/>
        <v>0</v>
      </c>
      <c r="I784" s="192"/>
    </row>
    <row r="785" spans="1:9" ht="15.75" hidden="1" x14ac:dyDescent="0.25">
      <c r="A785" s="396" t="s">
        <v>274</v>
      </c>
      <c r="B785" s="16">
        <v>907</v>
      </c>
      <c r="C785" s="20" t="s">
        <v>491</v>
      </c>
      <c r="D785" s="20" t="s">
        <v>118</v>
      </c>
      <c r="E785" s="20" t="s">
        <v>1303</v>
      </c>
      <c r="F785" s="20" t="s">
        <v>275</v>
      </c>
      <c r="G785" s="397">
        <v>0</v>
      </c>
      <c r="H785" s="397">
        <f t="shared" si="73"/>
        <v>0</v>
      </c>
      <c r="I785" s="192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1266</v>
      </c>
      <c r="F786" s="20"/>
      <c r="G786" s="397">
        <f>G787</f>
        <v>1204</v>
      </c>
      <c r="H786" s="397">
        <f>H787</f>
        <v>1204</v>
      </c>
      <c r="I786" s="192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1266</v>
      </c>
      <c r="F787" s="20" t="s">
        <v>273</v>
      </c>
      <c r="G787" s="397">
        <f>G788</f>
        <v>1204</v>
      </c>
      <c r="H787" s="397">
        <f>H788</f>
        <v>1204</v>
      </c>
      <c r="I787" s="192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1266</v>
      </c>
      <c r="F788" s="20" t="s">
        <v>275</v>
      </c>
      <c r="G788" s="397">
        <v>1204</v>
      </c>
      <c r="H788" s="397">
        <f t="shared" si="73"/>
        <v>1204</v>
      </c>
      <c r="I788" s="192"/>
    </row>
    <row r="789" spans="1:9" ht="47.25" x14ac:dyDescent="0.25">
      <c r="A789" s="394" t="s">
        <v>899</v>
      </c>
      <c r="B789" s="19">
        <v>907</v>
      </c>
      <c r="C789" s="24" t="s">
        <v>491</v>
      </c>
      <c r="D789" s="24" t="s">
        <v>118</v>
      </c>
      <c r="E789" s="24" t="s">
        <v>1267</v>
      </c>
      <c r="F789" s="24"/>
      <c r="G789" s="393">
        <f>G790</f>
        <v>813.5</v>
      </c>
      <c r="H789" s="393">
        <f>H790</f>
        <v>813.5</v>
      </c>
      <c r="I789" s="192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1401</v>
      </c>
      <c r="F790" s="20"/>
      <c r="G790" s="397">
        <f t="shared" ref="G790:H791" si="75">G791</f>
        <v>813.5</v>
      </c>
      <c r="H790" s="397">
        <f t="shared" si="75"/>
        <v>813.5</v>
      </c>
      <c r="I790" s="192"/>
    </row>
    <row r="791" spans="1:9" ht="31.5" x14ac:dyDescent="0.25">
      <c r="A791" s="396" t="s">
        <v>272</v>
      </c>
      <c r="B791" s="16">
        <v>907</v>
      </c>
      <c r="C791" s="20" t="s">
        <v>491</v>
      </c>
      <c r="D791" s="20" t="s">
        <v>118</v>
      </c>
      <c r="E791" s="20" t="s">
        <v>1401</v>
      </c>
      <c r="F791" s="20" t="s">
        <v>273</v>
      </c>
      <c r="G791" s="397">
        <f t="shared" si="75"/>
        <v>813.5</v>
      </c>
      <c r="H791" s="397">
        <f t="shared" si="75"/>
        <v>813.5</v>
      </c>
      <c r="I791" s="192"/>
    </row>
    <row r="792" spans="1:9" ht="15.75" x14ac:dyDescent="0.25">
      <c r="A792" s="396" t="s">
        <v>274</v>
      </c>
      <c r="B792" s="16">
        <v>907</v>
      </c>
      <c r="C792" s="20" t="s">
        <v>491</v>
      </c>
      <c r="D792" s="20" t="s">
        <v>118</v>
      </c>
      <c r="E792" s="20" t="s">
        <v>1401</v>
      </c>
      <c r="F792" s="20" t="s">
        <v>275</v>
      </c>
      <c r="G792" s="397">
        <f>813.5</f>
        <v>813.5</v>
      </c>
      <c r="H792" s="397">
        <f t="shared" si="73"/>
        <v>813.5</v>
      </c>
      <c r="I792" s="238">
        <f>12177.1/11326*870.2</f>
        <v>935.59177291188428</v>
      </c>
    </row>
    <row r="793" spans="1:9" s="191" customFormat="1" ht="47.25" x14ac:dyDescent="0.25">
      <c r="A793" s="34" t="s">
        <v>1356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393">
        <f t="shared" ref="G793:H796" si="76">G794</f>
        <v>0</v>
      </c>
      <c r="H793" s="393">
        <f t="shared" si="76"/>
        <v>8</v>
      </c>
      <c r="I793" s="238"/>
    </row>
    <row r="794" spans="1:9" s="191" customFormat="1" ht="63" x14ac:dyDescent="0.25">
      <c r="A794" s="34" t="s">
        <v>1008</v>
      </c>
      <c r="B794" s="19">
        <v>907</v>
      </c>
      <c r="C794" s="24" t="s">
        <v>491</v>
      </c>
      <c r="D794" s="24" t="s">
        <v>118</v>
      </c>
      <c r="E794" s="24" t="s">
        <v>933</v>
      </c>
      <c r="F794" s="24"/>
      <c r="G794" s="393">
        <f t="shared" si="76"/>
        <v>0</v>
      </c>
      <c r="H794" s="393">
        <f t="shared" si="76"/>
        <v>8</v>
      </c>
      <c r="I794" s="238"/>
    </row>
    <row r="795" spans="1:9" s="191" customFormat="1" ht="47.25" x14ac:dyDescent="0.25">
      <c r="A795" s="31" t="s">
        <v>1082</v>
      </c>
      <c r="B795" s="16">
        <v>907</v>
      </c>
      <c r="C795" s="20" t="s">
        <v>491</v>
      </c>
      <c r="D795" s="20" t="s">
        <v>118</v>
      </c>
      <c r="E795" s="20" t="s">
        <v>934</v>
      </c>
      <c r="F795" s="20"/>
      <c r="G795" s="397">
        <f t="shared" si="76"/>
        <v>0</v>
      </c>
      <c r="H795" s="397">
        <f t="shared" si="76"/>
        <v>8</v>
      </c>
      <c r="I795" s="238"/>
    </row>
    <row r="796" spans="1:9" s="191" customFormat="1" ht="31.5" x14ac:dyDescent="0.25">
      <c r="A796" s="396" t="s">
        <v>131</v>
      </c>
      <c r="B796" s="16">
        <v>907</v>
      </c>
      <c r="C796" s="20" t="s">
        <v>491</v>
      </c>
      <c r="D796" s="20" t="s">
        <v>118</v>
      </c>
      <c r="E796" s="20" t="s">
        <v>934</v>
      </c>
      <c r="F796" s="20" t="s">
        <v>273</v>
      </c>
      <c r="G796" s="397">
        <f t="shared" si="76"/>
        <v>0</v>
      </c>
      <c r="H796" s="397">
        <f t="shared" si="76"/>
        <v>8</v>
      </c>
      <c r="I796" s="238"/>
    </row>
    <row r="797" spans="1:9" s="191" customFormat="1" ht="31.5" x14ac:dyDescent="0.25">
      <c r="A797" s="396" t="s">
        <v>133</v>
      </c>
      <c r="B797" s="16">
        <v>907</v>
      </c>
      <c r="C797" s="20" t="s">
        <v>491</v>
      </c>
      <c r="D797" s="20" t="s">
        <v>118</v>
      </c>
      <c r="E797" s="20" t="s">
        <v>934</v>
      </c>
      <c r="F797" s="20" t="s">
        <v>275</v>
      </c>
      <c r="G797" s="397">
        <v>0</v>
      </c>
      <c r="H797" s="397">
        <v>8</v>
      </c>
      <c r="I797" s="238"/>
    </row>
    <row r="798" spans="1:9" ht="47.25" x14ac:dyDescent="0.25">
      <c r="A798" s="400" t="s">
        <v>1351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06"/>
      <c r="G798" s="393">
        <f t="shared" ref="G798:H801" si="77">G799</f>
        <v>579.1</v>
      </c>
      <c r="H798" s="393">
        <f t="shared" si="77"/>
        <v>602.29999999999995</v>
      </c>
      <c r="I798" s="192"/>
    </row>
    <row r="799" spans="1:9" ht="47.25" x14ac:dyDescent="0.25">
      <c r="A799" s="400" t="s">
        <v>889</v>
      </c>
      <c r="B799" s="19">
        <v>907</v>
      </c>
      <c r="C799" s="24" t="s">
        <v>491</v>
      </c>
      <c r="D799" s="24" t="s">
        <v>118</v>
      </c>
      <c r="E799" s="24" t="s">
        <v>887</v>
      </c>
      <c r="F799" s="206"/>
      <c r="G799" s="393">
        <f t="shared" si="77"/>
        <v>579.1</v>
      </c>
      <c r="H799" s="393">
        <f t="shared" si="77"/>
        <v>602.29999999999995</v>
      </c>
      <c r="I799" s="192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935</v>
      </c>
      <c r="F800" s="32"/>
      <c r="G800" s="397">
        <f t="shared" si="77"/>
        <v>579.1</v>
      </c>
      <c r="H800" s="397">
        <f t="shared" si="77"/>
        <v>602.29999999999995</v>
      </c>
      <c r="I800" s="192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935</v>
      </c>
      <c r="F801" s="32" t="s">
        <v>273</v>
      </c>
      <c r="G801" s="397">
        <f t="shared" si="77"/>
        <v>579.1</v>
      </c>
      <c r="H801" s="397">
        <f t="shared" si="77"/>
        <v>602.29999999999995</v>
      </c>
      <c r="I801" s="192"/>
    </row>
    <row r="802" spans="1:9" ht="15.75" x14ac:dyDescent="0.25">
      <c r="A802" s="180" t="s">
        <v>274</v>
      </c>
      <c r="B802" s="16">
        <v>907</v>
      </c>
      <c r="C802" s="20" t="s">
        <v>491</v>
      </c>
      <c r="D802" s="20" t="s">
        <v>118</v>
      </c>
      <c r="E802" s="20" t="s">
        <v>935</v>
      </c>
      <c r="F802" s="32" t="s">
        <v>275</v>
      </c>
      <c r="G802" s="397">
        <v>579.1</v>
      </c>
      <c r="H802" s="397">
        <v>602.29999999999995</v>
      </c>
      <c r="I802" s="192"/>
    </row>
    <row r="803" spans="1:9" ht="31.5" x14ac:dyDescent="0.25">
      <c r="A803" s="394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393">
        <f>G804+G812+G824</f>
        <v>13529.2</v>
      </c>
      <c r="H803" s="393">
        <f>H804+H812+H824</f>
        <v>13529.2</v>
      </c>
      <c r="I803" s="192"/>
    </row>
    <row r="804" spans="1:9" ht="31.5" x14ac:dyDescent="0.25">
      <c r="A804" s="394" t="s">
        <v>916</v>
      </c>
      <c r="B804" s="19">
        <v>907</v>
      </c>
      <c r="C804" s="24" t="s">
        <v>491</v>
      </c>
      <c r="D804" s="24" t="s">
        <v>234</v>
      </c>
      <c r="E804" s="24" t="s">
        <v>857</v>
      </c>
      <c r="F804" s="24"/>
      <c r="G804" s="393">
        <f>G805</f>
        <v>5224.5</v>
      </c>
      <c r="H804" s="393">
        <f>H805</f>
        <v>5224.5</v>
      </c>
      <c r="I804" s="192"/>
    </row>
    <row r="805" spans="1:9" ht="15.75" x14ac:dyDescent="0.25">
      <c r="A805" s="394" t="s">
        <v>917</v>
      </c>
      <c r="B805" s="19">
        <v>907</v>
      </c>
      <c r="C805" s="24" t="s">
        <v>491</v>
      </c>
      <c r="D805" s="24" t="s">
        <v>234</v>
      </c>
      <c r="E805" s="24" t="s">
        <v>858</v>
      </c>
      <c r="F805" s="24"/>
      <c r="G805" s="393">
        <f>G806+G809</f>
        <v>5224.5</v>
      </c>
      <c r="H805" s="393">
        <f>H806+H809</f>
        <v>5224.5</v>
      </c>
      <c r="I805" s="192"/>
    </row>
    <row r="806" spans="1:9" ht="31.5" x14ac:dyDescent="0.25">
      <c r="A806" s="396" t="s">
        <v>896</v>
      </c>
      <c r="B806" s="16">
        <v>907</v>
      </c>
      <c r="C806" s="20" t="s">
        <v>491</v>
      </c>
      <c r="D806" s="20" t="s">
        <v>234</v>
      </c>
      <c r="E806" s="20" t="s">
        <v>859</v>
      </c>
      <c r="F806" s="20"/>
      <c r="G806" s="397">
        <f>G807</f>
        <v>4888.5</v>
      </c>
      <c r="H806" s="397">
        <f>H807</f>
        <v>4888.5</v>
      </c>
      <c r="I806" s="192"/>
    </row>
    <row r="807" spans="1:9" ht="78.75" x14ac:dyDescent="0.25">
      <c r="A807" s="396" t="s">
        <v>127</v>
      </c>
      <c r="B807" s="16">
        <v>907</v>
      </c>
      <c r="C807" s="20" t="s">
        <v>491</v>
      </c>
      <c r="D807" s="20" t="s">
        <v>234</v>
      </c>
      <c r="E807" s="20" t="s">
        <v>859</v>
      </c>
      <c r="F807" s="20" t="s">
        <v>128</v>
      </c>
      <c r="G807" s="397">
        <f>G808</f>
        <v>4888.5</v>
      </c>
      <c r="H807" s="397">
        <f>H808</f>
        <v>4888.5</v>
      </c>
      <c r="I807" s="192"/>
    </row>
    <row r="808" spans="1:9" ht="31.5" x14ac:dyDescent="0.25">
      <c r="A808" s="396" t="s">
        <v>129</v>
      </c>
      <c r="B808" s="16">
        <v>907</v>
      </c>
      <c r="C808" s="20" t="s">
        <v>491</v>
      </c>
      <c r="D808" s="20" t="s">
        <v>234</v>
      </c>
      <c r="E808" s="20" t="s">
        <v>859</v>
      </c>
      <c r="F808" s="20" t="s">
        <v>130</v>
      </c>
      <c r="G808" s="397">
        <v>4888.5</v>
      </c>
      <c r="H808" s="397">
        <f t="shared" si="73"/>
        <v>4888.5</v>
      </c>
      <c r="I808" s="192"/>
    </row>
    <row r="809" spans="1:9" ht="47.25" x14ac:dyDescent="0.25">
      <c r="A809" s="396" t="s">
        <v>838</v>
      </c>
      <c r="B809" s="16">
        <v>907</v>
      </c>
      <c r="C809" s="20" t="s">
        <v>491</v>
      </c>
      <c r="D809" s="20" t="s">
        <v>234</v>
      </c>
      <c r="E809" s="20" t="s">
        <v>861</v>
      </c>
      <c r="F809" s="20"/>
      <c r="G809" s="397">
        <f>G810</f>
        <v>336</v>
      </c>
      <c r="H809" s="397">
        <f>H810</f>
        <v>336</v>
      </c>
      <c r="I809" s="192"/>
    </row>
    <row r="810" spans="1:9" ht="78.75" x14ac:dyDescent="0.25">
      <c r="A810" s="396" t="s">
        <v>127</v>
      </c>
      <c r="B810" s="16">
        <v>907</v>
      </c>
      <c r="C810" s="20" t="s">
        <v>491</v>
      </c>
      <c r="D810" s="20" t="s">
        <v>234</v>
      </c>
      <c r="E810" s="20" t="s">
        <v>861</v>
      </c>
      <c r="F810" s="20" t="s">
        <v>128</v>
      </c>
      <c r="G810" s="397">
        <f>G811</f>
        <v>336</v>
      </c>
      <c r="H810" s="397">
        <f>H811</f>
        <v>336</v>
      </c>
      <c r="I810" s="192"/>
    </row>
    <row r="811" spans="1:9" ht="31.5" x14ac:dyDescent="0.25">
      <c r="A811" s="396" t="s">
        <v>129</v>
      </c>
      <c r="B811" s="16">
        <v>907</v>
      </c>
      <c r="C811" s="20" t="s">
        <v>491</v>
      </c>
      <c r="D811" s="20" t="s">
        <v>234</v>
      </c>
      <c r="E811" s="20" t="s">
        <v>861</v>
      </c>
      <c r="F811" s="20" t="s">
        <v>130</v>
      </c>
      <c r="G811" s="397">
        <v>336</v>
      </c>
      <c r="H811" s="397">
        <f t="shared" si="73"/>
        <v>336</v>
      </c>
      <c r="I811" s="192"/>
    </row>
    <row r="812" spans="1:9" ht="15.75" x14ac:dyDescent="0.25">
      <c r="A812" s="394" t="s">
        <v>141</v>
      </c>
      <c r="B812" s="19">
        <v>907</v>
      </c>
      <c r="C812" s="24" t="s">
        <v>491</v>
      </c>
      <c r="D812" s="24" t="s">
        <v>234</v>
      </c>
      <c r="E812" s="24" t="s">
        <v>865</v>
      </c>
      <c r="F812" s="24"/>
      <c r="G812" s="393">
        <f>G813</f>
        <v>5304.7</v>
      </c>
      <c r="H812" s="393">
        <f>H813</f>
        <v>5304.7</v>
      </c>
      <c r="I812" s="192"/>
    </row>
    <row r="813" spans="1:9" ht="31.5" x14ac:dyDescent="0.25">
      <c r="A813" s="394" t="s">
        <v>928</v>
      </c>
      <c r="B813" s="19">
        <v>907</v>
      </c>
      <c r="C813" s="24" t="s">
        <v>491</v>
      </c>
      <c r="D813" s="24" t="s">
        <v>234</v>
      </c>
      <c r="E813" s="24" t="s">
        <v>913</v>
      </c>
      <c r="F813" s="24"/>
      <c r="G813" s="393">
        <f>G814+G821</f>
        <v>5304.7</v>
      </c>
      <c r="H813" s="393">
        <f>H814+H821</f>
        <v>5304.7</v>
      </c>
      <c r="I813" s="192"/>
    </row>
    <row r="814" spans="1:9" ht="31.5" x14ac:dyDescent="0.25">
      <c r="A814" s="396" t="s">
        <v>902</v>
      </c>
      <c r="B814" s="16">
        <v>907</v>
      </c>
      <c r="C814" s="20" t="s">
        <v>491</v>
      </c>
      <c r="D814" s="20" t="s">
        <v>234</v>
      </c>
      <c r="E814" s="20" t="s">
        <v>914</v>
      </c>
      <c r="F814" s="20"/>
      <c r="G814" s="397">
        <f>G815+G817+G819</f>
        <v>5089.7</v>
      </c>
      <c r="H814" s="397">
        <f>H815+H817+H819</f>
        <v>5089.7</v>
      </c>
      <c r="I814" s="192"/>
    </row>
    <row r="815" spans="1:9" ht="78.75" x14ac:dyDescent="0.25">
      <c r="A815" s="396" t="s">
        <v>127</v>
      </c>
      <c r="B815" s="16">
        <v>907</v>
      </c>
      <c r="C815" s="20" t="s">
        <v>491</v>
      </c>
      <c r="D815" s="20" t="s">
        <v>234</v>
      </c>
      <c r="E815" s="20" t="s">
        <v>914</v>
      </c>
      <c r="F815" s="20" t="s">
        <v>128</v>
      </c>
      <c r="G815" s="397">
        <f>G816</f>
        <v>4695.3999999999996</v>
      </c>
      <c r="H815" s="397">
        <f>H816</f>
        <v>4695.3999999999996</v>
      </c>
      <c r="I815" s="192"/>
    </row>
    <row r="816" spans="1:9" ht="19.5" customHeight="1" x14ac:dyDescent="0.25">
      <c r="A816" s="396" t="s">
        <v>342</v>
      </c>
      <c r="B816" s="16">
        <v>907</v>
      </c>
      <c r="C816" s="20" t="s">
        <v>491</v>
      </c>
      <c r="D816" s="20" t="s">
        <v>234</v>
      </c>
      <c r="E816" s="20" t="s">
        <v>914</v>
      </c>
      <c r="F816" s="20" t="s">
        <v>209</v>
      </c>
      <c r="G816" s="397">
        <v>4695.3999999999996</v>
      </c>
      <c r="H816" s="397">
        <f t="shared" si="73"/>
        <v>4695.3999999999996</v>
      </c>
      <c r="I816" s="192"/>
    </row>
    <row r="817" spans="1:13" ht="31.5" x14ac:dyDescent="0.25">
      <c r="A817" s="396" t="s">
        <v>131</v>
      </c>
      <c r="B817" s="16">
        <v>907</v>
      </c>
      <c r="C817" s="20" t="s">
        <v>491</v>
      </c>
      <c r="D817" s="20" t="s">
        <v>234</v>
      </c>
      <c r="E817" s="20" t="s">
        <v>914</v>
      </c>
      <c r="F817" s="20" t="s">
        <v>132</v>
      </c>
      <c r="G817" s="397">
        <f>G818</f>
        <v>343.3</v>
      </c>
      <c r="H817" s="397">
        <f>H818</f>
        <v>343.3</v>
      </c>
      <c r="I817" s="192"/>
    </row>
    <row r="818" spans="1:13" ht="31.5" x14ac:dyDescent="0.25">
      <c r="A818" s="396" t="s">
        <v>133</v>
      </c>
      <c r="B818" s="16">
        <v>907</v>
      </c>
      <c r="C818" s="20" t="s">
        <v>491</v>
      </c>
      <c r="D818" s="20" t="s">
        <v>234</v>
      </c>
      <c r="E818" s="20" t="s">
        <v>914</v>
      </c>
      <c r="F818" s="20" t="s">
        <v>134</v>
      </c>
      <c r="G818" s="397">
        <v>343.3</v>
      </c>
      <c r="H818" s="397">
        <f t="shared" si="73"/>
        <v>343.3</v>
      </c>
      <c r="I818" s="192"/>
    </row>
    <row r="819" spans="1:13" ht="15.75" x14ac:dyDescent="0.25">
      <c r="A819" s="396" t="s">
        <v>135</v>
      </c>
      <c r="B819" s="16">
        <v>907</v>
      </c>
      <c r="C819" s="20" t="s">
        <v>491</v>
      </c>
      <c r="D819" s="20" t="s">
        <v>234</v>
      </c>
      <c r="E819" s="20" t="s">
        <v>914</v>
      </c>
      <c r="F819" s="20" t="s">
        <v>145</v>
      </c>
      <c r="G819" s="397">
        <f>G820</f>
        <v>51</v>
      </c>
      <c r="H819" s="397">
        <f>H820</f>
        <v>51</v>
      </c>
      <c r="I819" s="192"/>
    </row>
    <row r="820" spans="1:13" ht="15.75" x14ac:dyDescent="0.25">
      <c r="A820" s="396" t="s">
        <v>568</v>
      </c>
      <c r="B820" s="16">
        <v>907</v>
      </c>
      <c r="C820" s="20" t="s">
        <v>491</v>
      </c>
      <c r="D820" s="20" t="s">
        <v>234</v>
      </c>
      <c r="E820" s="20" t="s">
        <v>914</v>
      </c>
      <c r="F820" s="20" t="s">
        <v>138</v>
      </c>
      <c r="G820" s="397">
        <f>51</f>
        <v>51</v>
      </c>
      <c r="H820" s="397">
        <f t="shared" si="73"/>
        <v>51</v>
      </c>
      <c r="I820" s="192"/>
    </row>
    <row r="821" spans="1:13" ht="47.25" x14ac:dyDescent="0.25">
      <c r="A821" s="396" t="s">
        <v>838</v>
      </c>
      <c r="B821" s="16">
        <v>907</v>
      </c>
      <c r="C821" s="20" t="s">
        <v>491</v>
      </c>
      <c r="D821" s="20" t="s">
        <v>234</v>
      </c>
      <c r="E821" s="20" t="s">
        <v>915</v>
      </c>
      <c r="F821" s="20"/>
      <c r="G821" s="397">
        <f>G822</f>
        <v>215</v>
      </c>
      <c r="H821" s="397">
        <f>H822</f>
        <v>215</v>
      </c>
      <c r="I821" s="192"/>
    </row>
    <row r="822" spans="1:13" ht="78.75" x14ac:dyDescent="0.25">
      <c r="A822" s="396" t="s">
        <v>127</v>
      </c>
      <c r="B822" s="16">
        <v>907</v>
      </c>
      <c r="C822" s="20" t="s">
        <v>491</v>
      </c>
      <c r="D822" s="20" t="s">
        <v>234</v>
      </c>
      <c r="E822" s="20" t="s">
        <v>915</v>
      </c>
      <c r="F822" s="20" t="s">
        <v>128</v>
      </c>
      <c r="G822" s="397">
        <f>G823</f>
        <v>215</v>
      </c>
      <c r="H822" s="397">
        <f>H823</f>
        <v>215</v>
      </c>
      <c r="I822" s="192"/>
    </row>
    <row r="823" spans="1:13" ht="19.5" customHeight="1" x14ac:dyDescent="0.25">
      <c r="A823" s="396" t="s">
        <v>342</v>
      </c>
      <c r="B823" s="16">
        <v>907</v>
      </c>
      <c r="C823" s="20" t="s">
        <v>491</v>
      </c>
      <c r="D823" s="20" t="s">
        <v>234</v>
      </c>
      <c r="E823" s="20" t="s">
        <v>915</v>
      </c>
      <c r="F823" s="20" t="s">
        <v>209</v>
      </c>
      <c r="G823" s="397">
        <v>215</v>
      </c>
      <c r="H823" s="397">
        <f t="shared" si="73"/>
        <v>215</v>
      </c>
      <c r="I823" s="192"/>
    </row>
    <row r="824" spans="1:13" ht="47.25" x14ac:dyDescent="0.25">
      <c r="A824" s="400" t="s">
        <v>1368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393">
        <f>G825</f>
        <v>3000</v>
      </c>
      <c r="H824" s="393">
        <f>H825</f>
        <v>3000</v>
      </c>
      <c r="I824" s="192"/>
    </row>
    <row r="825" spans="1:13" ht="31.5" x14ac:dyDescent="0.25">
      <c r="A825" s="58" t="s">
        <v>950</v>
      </c>
      <c r="B825" s="19">
        <v>907</v>
      </c>
      <c r="C825" s="24" t="s">
        <v>491</v>
      </c>
      <c r="D825" s="24" t="s">
        <v>234</v>
      </c>
      <c r="E825" s="7" t="s">
        <v>1269</v>
      </c>
      <c r="F825" s="24"/>
      <c r="G825" s="393">
        <f t="shared" ref="G825:H825" si="78">G826</f>
        <v>3000</v>
      </c>
      <c r="H825" s="393">
        <f t="shared" si="78"/>
        <v>3000</v>
      </c>
      <c r="I825" s="192"/>
    </row>
    <row r="826" spans="1:13" ht="15.75" x14ac:dyDescent="0.25">
      <c r="A826" s="29" t="s">
        <v>951</v>
      </c>
      <c r="B826" s="16">
        <v>907</v>
      </c>
      <c r="C826" s="20" t="s">
        <v>491</v>
      </c>
      <c r="D826" s="20" t="s">
        <v>234</v>
      </c>
      <c r="E826" s="40" t="s">
        <v>1270</v>
      </c>
      <c r="F826" s="20"/>
      <c r="G826" s="397">
        <f>G827+G829</f>
        <v>3000</v>
      </c>
      <c r="H826" s="397">
        <f>H827+H829</f>
        <v>3000</v>
      </c>
      <c r="I826" s="192"/>
    </row>
    <row r="827" spans="1:13" ht="78.75" x14ac:dyDescent="0.25">
      <c r="A827" s="396" t="s">
        <v>127</v>
      </c>
      <c r="B827" s="16">
        <v>907</v>
      </c>
      <c r="C827" s="20" t="s">
        <v>491</v>
      </c>
      <c r="D827" s="20" t="s">
        <v>234</v>
      </c>
      <c r="E827" s="40" t="s">
        <v>1270</v>
      </c>
      <c r="F827" s="20" t="s">
        <v>128</v>
      </c>
      <c r="G827" s="397">
        <f>G828</f>
        <v>2500</v>
      </c>
      <c r="H827" s="397">
        <f>H828</f>
        <v>2500</v>
      </c>
      <c r="I827" s="192"/>
    </row>
    <row r="828" spans="1:13" ht="31.5" x14ac:dyDescent="0.25">
      <c r="A828" s="396" t="s">
        <v>342</v>
      </c>
      <c r="B828" s="16">
        <v>907</v>
      </c>
      <c r="C828" s="20" t="s">
        <v>491</v>
      </c>
      <c r="D828" s="20" t="s">
        <v>234</v>
      </c>
      <c r="E828" s="40" t="s">
        <v>1270</v>
      </c>
      <c r="F828" s="20" t="s">
        <v>209</v>
      </c>
      <c r="G828" s="397">
        <v>2500</v>
      </c>
      <c r="H828" s="397">
        <v>2500</v>
      </c>
      <c r="I828" s="192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1270</v>
      </c>
      <c r="F829" s="20" t="s">
        <v>132</v>
      </c>
      <c r="G829" s="397">
        <f>G830</f>
        <v>500</v>
      </c>
      <c r="H829" s="397">
        <f>H830</f>
        <v>500</v>
      </c>
      <c r="I829" s="192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1270</v>
      </c>
      <c r="F830" s="20" t="s">
        <v>134</v>
      </c>
      <c r="G830" s="397">
        <f>500</f>
        <v>500</v>
      </c>
      <c r="H830" s="397">
        <f t="shared" si="73"/>
        <v>500</v>
      </c>
      <c r="I830" s="192"/>
    </row>
    <row r="831" spans="1:13" ht="31.5" x14ac:dyDescent="0.25">
      <c r="A831" s="391" t="s">
        <v>504</v>
      </c>
      <c r="B831" s="19">
        <v>908</v>
      </c>
      <c r="C831" s="20"/>
      <c r="D831" s="20"/>
      <c r="E831" s="20"/>
      <c r="F831" s="20"/>
      <c r="G831" s="393">
        <f>G846+G853+G874+G1038+G832</f>
        <v>86100.3</v>
      </c>
      <c r="H831" s="393">
        <f>H846+H853+H874+H1038+H832</f>
        <v>94346.650000000009</v>
      </c>
      <c r="I831" s="192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393">
        <f>G833</f>
        <v>41282.100000000006</v>
      </c>
      <c r="H832" s="393">
        <f t="shared" ref="G832:H834" si="79">H833</f>
        <v>41282.100000000006</v>
      </c>
      <c r="I832" s="192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393">
        <f t="shared" si="79"/>
        <v>41282.100000000006</v>
      </c>
      <c r="H833" s="393">
        <f t="shared" si="79"/>
        <v>41282.100000000006</v>
      </c>
      <c r="I833" s="192"/>
    </row>
    <row r="834" spans="1:9" ht="15.75" x14ac:dyDescent="0.25">
      <c r="A834" s="394" t="s">
        <v>141</v>
      </c>
      <c r="B834" s="19">
        <v>908</v>
      </c>
      <c r="C834" s="24" t="s">
        <v>118</v>
      </c>
      <c r="D834" s="24" t="s">
        <v>140</v>
      </c>
      <c r="E834" s="24" t="s">
        <v>865</v>
      </c>
      <c r="F834" s="24"/>
      <c r="G834" s="44">
        <f t="shared" si="79"/>
        <v>41282.100000000006</v>
      </c>
      <c r="H834" s="44">
        <f t="shared" si="79"/>
        <v>41282.100000000006</v>
      </c>
      <c r="I834" s="192"/>
    </row>
    <row r="835" spans="1:9" ht="15.75" x14ac:dyDescent="0.25">
      <c r="A835" s="394" t="s">
        <v>953</v>
      </c>
      <c r="B835" s="19">
        <v>908</v>
      </c>
      <c r="C835" s="24" t="s">
        <v>118</v>
      </c>
      <c r="D835" s="24" t="s">
        <v>140</v>
      </c>
      <c r="E835" s="24" t="s">
        <v>952</v>
      </c>
      <c r="F835" s="24"/>
      <c r="G835" s="44">
        <f>G839+G836</f>
        <v>41282.100000000006</v>
      </c>
      <c r="H835" s="44">
        <f>H839+H836</f>
        <v>41282.100000000006</v>
      </c>
      <c r="I835" s="192"/>
    </row>
    <row r="836" spans="1:9" ht="47.25" x14ac:dyDescent="0.25">
      <c r="A836" s="396" t="s">
        <v>838</v>
      </c>
      <c r="B836" s="16">
        <v>908</v>
      </c>
      <c r="C836" s="20" t="s">
        <v>118</v>
      </c>
      <c r="D836" s="20" t="s">
        <v>140</v>
      </c>
      <c r="E836" s="20" t="s">
        <v>955</v>
      </c>
      <c r="F836" s="20"/>
      <c r="G836" s="397">
        <f>G837</f>
        <v>1072</v>
      </c>
      <c r="H836" s="397">
        <f>H837</f>
        <v>1072</v>
      </c>
      <c r="I836" s="192"/>
    </row>
    <row r="837" spans="1:9" ht="78.75" x14ac:dyDescent="0.25">
      <c r="A837" s="396" t="s">
        <v>127</v>
      </c>
      <c r="B837" s="16">
        <v>908</v>
      </c>
      <c r="C837" s="20" t="s">
        <v>118</v>
      </c>
      <c r="D837" s="20" t="s">
        <v>140</v>
      </c>
      <c r="E837" s="20" t="s">
        <v>955</v>
      </c>
      <c r="F837" s="20" t="s">
        <v>128</v>
      </c>
      <c r="G837" s="397">
        <f>G838</f>
        <v>1072</v>
      </c>
      <c r="H837" s="397">
        <f>H838</f>
        <v>1072</v>
      </c>
      <c r="I837" s="192"/>
    </row>
    <row r="838" spans="1:9" ht="31.5" x14ac:dyDescent="0.25">
      <c r="A838" s="396" t="s">
        <v>129</v>
      </c>
      <c r="B838" s="16">
        <v>908</v>
      </c>
      <c r="C838" s="20" t="s">
        <v>118</v>
      </c>
      <c r="D838" s="20" t="s">
        <v>140</v>
      </c>
      <c r="E838" s="20" t="s">
        <v>955</v>
      </c>
      <c r="F838" s="20" t="s">
        <v>209</v>
      </c>
      <c r="G838" s="397">
        <v>1072</v>
      </c>
      <c r="H838" s="397">
        <f t="shared" ref="H838:H901" si="80">G838</f>
        <v>1072</v>
      </c>
      <c r="I838" s="192"/>
    </row>
    <row r="839" spans="1:9" ht="15.75" x14ac:dyDescent="0.25">
      <c r="A839" s="396" t="s">
        <v>801</v>
      </c>
      <c r="B839" s="16">
        <v>908</v>
      </c>
      <c r="C839" s="20" t="s">
        <v>118</v>
      </c>
      <c r="D839" s="20" t="s">
        <v>140</v>
      </c>
      <c r="E839" s="20" t="s">
        <v>954</v>
      </c>
      <c r="F839" s="20"/>
      <c r="G839" s="397">
        <f>G840+G844+G842</f>
        <v>40210.100000000006</v>
      </c>
      <c r="H839" s="397">
        <f>H840+H844+H842</f>
        <v>40210.100000000006</v>
      </c>
      <c r="I839" s="192"/>
    </row>
    <row r="840" spans="1:9" ht="78.75" x14ac:dyDescent="0.25">
      <c r="A840" s="396" t="s">
        <v>127</v>
      </c>
      <c r="B840" s="16">
        <v>908</v>
      </c>
      <c r="C840" s="20" t="s">
        <v>118</v>
      </c>
      <c r="D840" s="20" t="s">
        <v>140</v>
      </c>
      <c r="E840" s="20" t="s">
        <v>954</v>
      </c>
      <c r="F840" s="20" t="s">
        <v>128</v>
      </c>
      <c r="G840" s="397">
        <f>G841</f>
        <v>32825.800000000003</v>
      </c>
      <c r="H840" s="397">
        <f>H841</f>
        <v>32825.800000000003</v>
      </c>
      <c r="I840" s="192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954</v>
      </c>
      <c r="F841" s="20" t="s">
        <v>209</v>
      </c>
      <c r="G841" s="397">
        <v>32825.800000000003</v>
      </c>
      <c r="H841" s="397">
        <f t="shared" si="80"/>
        <v>32825.800000000003</v>
      </c>
      <c r="I841" s="192"/>
    </row>
    <row r="842" spans="1:9" ht="31.5" x14ac:dyDescent="0.25">
      <c r="A842" s="396" t="s">
        <v>131</v>
      </c>
      <c r="B842" s="16">
        <v>908</v>
      </c>
      <c r="C842" s="20" t="s">
        <v>118</v>
      </c>
      <c r="D842" s="20" t="s">
        <v>140</v>
      </c>
      <c r="E842" s="20" t="s">
        <v>954</v>
      </c>
      <c r="F842" s="20" t="s">
        <v>132</v>
      </c>
      <c r="G842" s="397">
        <f>G843</f>
        <v>6963.3</v>
      </c>
      <c r="H842" s="397">
        <f>H843</f>
        <v>6963.3</v>
      </c>
      <c r="I842" s="192"/>
    </row>
    <row r="843" spans="1:9" ht="31.5" x14ac:dyDescent="0.25">
      <c r="A843" s="396" t="s">
        <v>133</v>
      </c>
      <c r="B843" s="16">
        <v>908</v>
      </c>
      <c r="C843" s="20" t="s">
        <v>118</v>
      </c>
      <c r="D843" s="20" t="s">
        <v>140</v>
      </c>
      <c r="E843" s="20" t="s">
        <v>954</v>
      </c>
      <c r="F843" s="20" t="s">
        <v>134</v>
      </c>
      <c r="G843" s="397">
        <v>6963.3</v>
      </c>
      <c r="H843" s="397">
        <f t="shared" si="80"/>
        <v>6963.3</v>
      </c>
      <c r="I843" s="192"/>
    </row>
    <row r="844" spans="1:9" ht="15.75" x14ac:dyDescent="0.25">
      <c r="A844" s="396" t="s">
        <v>135</v>
      </c>
      <c r="B844" s="16">
        <v>908</v>
      </c>
      <c r="C844" s="20" t="s">
        <v>118</v>
      </c>
      <c r="D844" s="20" t="s">
        <v>140</v>
      </c>
      <c r="E844" s="20" t="s">
        <v>954</v>
      </c>
      <c r="F844" s="20" t="s">
        <v>145</v>
      </c>
      <c r="G844" s="397">
        <f>G845</f>
        <v>421</v>
      </c>
      <c r="H844" s="397">
        <f>H845</f>
        <v>421</v>
      </c>
      <c r="I844" s="192"/>
    </row>
    <row r="845" spans="1:9" ht="15.75" x14ac:dyDescent="0.25">
      <c r="A845" s="396" t="s">
        <v>704</v>
      </c>
      <c r="B845" s="16">
        <v>908</v>
      </c>
      <c r="C845" s="20" t="s">
        <v>118</v>
      </c>
      <c r="D845" s="20" t="s">
        <v>140</v>
      </c>
      <c r="E845" s="20" t="s">
        <v>954</v>
      </c>
      <c r="F845" s="20" t="s">
        <v>138</v>
      </c>
      <c r="G845" s="397">
        <f>421</f>
        <v>421</v>
      </c>
      <c r="H845" s="397">
        <f t="shared" si="80"/>
        <v>421</v>
      </c>
      <c r="I845" s="192"/>
    </row>
    <row r="846" spans="1:9" ht="31.5" x14ac:dyDescent="0.25">
      <c r="A846" s="394" t="s">
        <v>222</v>
      </c>
      <c r="B846" s="19">
        <v>908</v>
      </c>
      <c r="C846" s="24" t="s">
        <v>215</v>
      </c>
      <c r="D846" s="24"/>
      <c r="E846" s="24"/>
      <c r="F846" s="24"/>
      <c r="G846" s="393">
        <f t="shared" ref="G846:H849" si="81">G847</f>
        <v>107</v>
      </c>
      <c r="H846" s="393">
        <f t="shared" si="81"/>
        <v>107</v>
      </c>
      <c r="I846" s="192"/>
    </row>
    <row r="847" spans="1:9" ht="47.25" x14ac:dyDescent="0.25">
      <c r="A847" s="394" t="s">
        <v>1344</v>
      </c>
      <c r="B847" s="19">
        <v>908</v>
      </c>
      <c r="C847" s="24" t="s">
        <v>215</v>
      </c>
      <c r="D847" s="24" t="s">
        <v>244</v>
      </c>
      <c r="E847" s="24"/>
      <c r="F847" s="24"/>
      <c r="G847" s="393">
        <f t="shared" si="81"/>
        <v>107</v>
      </c>
      <c r="H847" s="393">
        <f t="shared" si="81"/>
        <v>107</v>
      </c>
      <c r="I847" s="192"/>
    </row>
    <row r="848" spans="1:9" ht="15.75" x14ac:dyDescent="0.25">
      <c r="A848" s="394" t="s">
        <v>141</v>
      </c>
      <c r="B848" s="19">
        <v>908</v>
      </c>
      <c r="C848" s="24" t="s">
        <v>215</v>
      </c>
      <c r="D848" s="24" t="s">
        <v>244</v>
      </c>
      <c r="E848" s="24" t="s">
        <v>865</v>
      </c>
      <c r="F848" s="24"/>
      <c r="G848" s="393">
        <f t="shared" si="81"/>
        <v>107</v>
      </c>
      <c r="H848" s="393">
        <f t="shared" si="81"/>
        <v>107</v>
      </c>
      <c r="I848" s="192"/>
    </row>
    <row r="849" spans="1:9" ht="31.5" x14ac:dyDescent="0.25">
      <c r="A849" s="394" t="s">
        <v>869</v>
      </c>
      <c r="B849" s="19">
        <v>908</v>
      </c>
      <c r="C849" s="24" t="s">
        <v>215</v>
      </c>
      <c r="D849" s="24" t="s">
        <v>244</v>
      </c>
      <c r="E849" s="24" t="s">
        <v>864</v>
      </c>
      <c r="F849" s="24"/>
      <c r="G849" s="393">
        <f t="shared" si="81"/>
        <v>107</v>
      </c>
      <c r="H849" s="393">
        <f t="shared" si="81"/>
        <v>107</v>
      </c>
      <c r="I849" s="192"/>
    </row>
    <row r="850" spans="1:9" ht="15.75" x14ac:dyDescent="0.25">
      <c r="A850" s="396" t="s">
        <v>230</v>
      </c>
      <c r="B850" s="16">
        <v>908</v>
      </c>
      <c r="C850" s="20" t="s">
        <v>215</v>
      </c>
      <c r="D850" s="20" t="s">
        <v>244</v>
      </c>
      <c r="E850" s="20" t="s">
        <v>875</v>
      </c>
      <c r="F850" s="20"/>
      <c r="G850" s="397">
        <f>G851</f>
        <v>107</v>
      </c>
      <c r="H850" s="397">
        <f>H851</f>
        <v>107</v>
      </c>
      <c r="I850" s="192"/>
    </row>
    <row r="851" spans="1:9" ht="31.5" x14ac:dyDescent="0.25">
      <c r="A851" s="396" t="s">
        <v>131</v>
      </c>
      <c r="B851" s="16">
        <v>908</v>
      </c>
      <c r="C851" s="20" t="s">
        <v>215</v>
      </c>
      <c r="D851" s="20" t="s">
        <v>244</v>
      </c>
      <c r="E851" s="20" t="s">
        <v>875</v>
      </c>
      <c r="F851" s="20" t="s">
        <v>132</v>
      </c>
      <c r="G851" s="397">
        <f>G852</f>
        <v>107</v>
      </c>
      <c r="H851" s="397">
        <f>H852</f>
        <v>107</v>
      </c>
      <c r="I851" s="192"/>
    </row>
    <row r="852" spans="1:9" ht="31.5" x14ac:dyDescent="0.25">
      <c r="A852" s="396" t="s">
        <v>133</v>
      </c>
      <c r="B852" s="16">
        <v>908</v>
      </c>
      <c r="C852" s="20" t="s">
        <v>215</v>
      </c>
      <c r="D852" s="20" t="s">
        <v>244</v>
      </c>
      <c r="E852" s="20" t="s">
        <v>875</v>
      </c>
      <c r="F852" s="20" t="s">
        <v>134</v>
      </c>
      <c r="G852" s="397">
        <f>107</f>
        <v>107</v>
      </c>
      <c r="H852" s="397">
        <f t="shared" si="80"/>
        <v>107</v>
      </c>
      <c r="I852" s="192"/>
    </row>
    <row r="853" spans="1:9" ht="15.75" x14ac:dyDescent="0.25">
      <c r="A853" s="394" t="s">
        <v>232</v>
      </c>
      <c r="B853" s="19">
        <v>908</v>
      </c>
      <c r="C853" s="24" t="s">
        <v>150</v>
      </c>
      <c r="D853" s="24"/>
      <c r="E853" s="24"/>
      <c r="F853" s="24"/>
      <c r="G853" s="393">
        <f>G854+G860</f>
        <v>5385.6</v>
      </c>
      <c r="H853" s="393">
        <f>H854+H860</f>
        <v>5207.1000000000004</v>
      </c>
      <c r="I853" s="192"/>
    </row>
    <row r="854" spans="1:9" ht="15.75" x14ac:dyDescent="0.25">
      <c r="A854" s="394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393">
        <f t="shared" ref="G854:H856" si="82">G855</f>
        <v>3258</v>
      </c>
      <c r="H854" s="393">
        <f t="shared" si="82"/>
        <v>3258</v>
      </c>
      <c r="I854" s="192"/>
    </row>
    <row r="855" spans="1:9" ht="15.75" x14ac:dyDescent="0.25">
      <c r="A855" s="394" t="s">
        <v>141</v>
      </c>
      <c r="B855" s="19">
        <v>908</v>
      </c>
      <c r="C855" s="24" t="s">
        <v>150</v>
      </c>
      <c r="D855" s="24" t="s">
        <v>299</v>
      </c>
      <c r="E855" s="24" t="s">
        <v>865</v>
      </c>
      <c r="F855" s="24"/>
      <c r="G855" s="393">
        <f t="shared" si="82"/>
        <v>3258</v>
      </c>
      <c r="H855" s="393">
        <f t="shared" si="82"/>
        <v>3258</v>
      </c>
      <c r="I855" s="192"/>
    </row>
    <row r="856" spans="1:9" ht="31.5" x14ac:dyDescent="0.25">
      <c r="A856" s="394" t="s">
        <v>869</v>
      </c>
      <c r="B856" s="19">
        <v>908</v>
      </c>
      <c r="C856" s="24" t="s">
        <v>150</v>
      </c>
      <c r="D856" s="24" t="s">
        <v>299</v>
      </c>
      <c r="E856" s="24" t="s">
        <v>864</v>
      </c>
      <c r="F856" s="24"/>
      <c r="G856" s="393">
        <f t="shared" si="82"/>
        <v>3258</v>
      </c>
      <c r="H856" s="393">
        <f t="shared" si="82"/>
        <v>3258</v>
      </c>
      <c r="I856" s="192"/>
    </row>
    <row r="857" spans="1:9" ht="15.75" x14ac:dyDescent="0.25">
      <c r="A857" s="396" t="s">
        <v>506</v>
      </c>
      <c r="B857" s="16">
        <v>908</v>
      </c>
      <c r="C857" s="20" t="s">
        <v>150</v>
      </c>
      <c r="D857" s="20" t="s">
        <v>299</v>
      </c>
      <c r="E857" s="20" t="s">
        <v>956</v>
      </c>
      <c r="F857" s="20"/>
      <c r="G857" s="397">
        <f>G858</f>
        <v>3258</v>
      </c>
      <c r="H857" s="397">
        <f>H858</f>
        <v>3258</v>
      </c>
      <c r="I857" s="192"/>
    </row>
    <row r="858" spans="1:9" ht="31.5" x14ac:dyDescent="0.25">
      <c r="A858" s="396" t="s">
        <v>131</v>
      </c>
      <c r="B858" s="16">
        <v>908</v>
      </c>
      <c r="C858" s="20" t="s">
        <v>150</v>
      </c>
      <c r="D858" s="20" t="s">
        <v>299</v>
      </c>
      <c r="E858" s="20" t="s">
        <v>956</v>
      </c>
      <c r="F858" s="20" t="s">
        <v>132</v>
      </c>
      <c r="G858" s="397">
        <f>G859</f>
        <v>3258</v>
      </c>
      <c r="H858" s="397">
        <f>H859</f>
        <v>3258</v>
      </c>
      <c r="I858" s="192"/>
    </row>
    <row r="859" spans="1:9" ht="31.5" x14ac:dyDescent="0.25">
      <c r="A859" s="396" t="s">
        <v>133</v>
      </c>
      <c r="B859" s="16">
        <v>908</v>
      </c>
      <c r="C859" s="20" t="s">
        <v>150</v>
      </c>
      <c r="D859" s="20" t="s">
        <v>299</v>
      </c>
      <c r="E859" s="20" t="s">
        <v>956</v>
      </c>
      <c r="F859" s="20" t="s">
        <v>134</v>
      </c>
      <c r="G859" s="397">
        <v>3258</v>
      </c>
      <c r="H859" s="397">
        <f t="shared" si="80"/>
        <v>3258</v>
      </c>
      <c r="I859" s="192"/>
    </row>
    <row r="860" spans="1:9" ht="15.75" x14ac:dyDescent="0.25">
      <c r="A860" s="394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393">
        <f>G861</f>
        <v>2127.6</v>
      </c>
      <c r="H860" s="393">
        <f>H861</f>
        <v>1949.1</v>
      </c>
      <c r="I860" s="192"/>
    </row>
    <row r="861" spans="1:9" ht="47.25" x14ac:dyDescent="0.25">
      <c r="A861" s="34" t="s">
        <v>1369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393">
        <f>G867+G862</f>
        <v>2127.6</v>
      </c>
      <c r="H861" s="393">
        <f>H867+H862</f>
        <v>1949.1</v>
      </c>
      <c r="I861" s="192"/>
    </row>
    <row r="862" spans="1:9" ht="31.5" hidden="1" x14ac:dyDescent="0.25">
      <c r="A862" s="34" t="s">
        <v>998</v>
      </c>
      <c r="B862" s="19">
        <v>908</v>
      </c>
      <c r="C862" s="24" t="s">
        <v>150</v>
      </c>
      <c r="D862" s="24" t="s">
        <v>219</v>
      </c>
      <c r="E862" s="7" t="s">
        <v>957</v>
      </c>
      <c r="F862" s="24"/>
      <c r="G862" s="393">
        <f t="shared" ref="G862:H864" si="83">G863</f>
        <v>0</v>
      </c>
      <c r="H862" s="393">
        <f t="shared" si="83"/>
        <v>0</v>
      </c>
      <c r="I862" s="192"/>
    </row>
    <row r="863" spans="1:9" ht="15.75" hidden="1" x14ac:dyDescent="0.25">
      <c r="A863" s="29" t="s">
        <v>1000</v>
      </c>
      <c r="B863" s="16">
        <v>908</v>
      </c>
      <c r="C863" s="20" t="s">
        <v>150</v>
      </c>
      <c r="D863" s="20" t="s">
        <v>219</v>
      </c>
      <c r="E863" s="40" t="s">
        <v>999</v>
      </c>
      <c r="F863" s="20"/>
      <c r="G863" s="397">
        <f t="shared" si="83"/>
        <v>0</v>
      </c>
      <c r="H863" s="397">
        <f t="shared" si="83"/>
        <v>0</v>
      </c>
      <c r="I863" s="192"/>
    </row>
    <row r="864" spans="1:9" ht="31.5" hidden="1" x14ac:dyDescent="0.25">
      <c r="A864" s="396" t="s">
        <v>131</v>
      </c>
      <c r="B864" s="16">
        <v>908</v>
      </c>
      <c r="C864" s="20" t="s">
        <v>150</v>
      </c>
      <c r="D864" s="20" t="s">
        <v>219</v>
      </c>
      <c r="E864" s="40" t="s">
        <v>999</v>
      </c>
      <c r="F864" s="20" t="s">
        <v>132</v>
      </c>
      <c r="G864" s="397">
        <f t="shared" si="83"/>
        <v>0</v>
      </c>
      <c r="H864" s="397">
        <f t="shared" si="83"/>
        <v>0</v>
      </c>
      <c r="I864" s="192"/>
    </row>
    <row r="865" spans="1:13" ht="31.5" hidden="1" x14ac:dyDescent="0.25">
      <c r="A865" s="396" t="s">
        <v>133</v>
      </c>
      <c r="B865" s="16">
        <v>908</v>
      </c>
      <c r="C865" s="20" t="s">
        <v>150</v>
      </c>
      <c r="D865" s="20" t="s">
        <v>219</v>
      </c>
      <c r="E865" s="40" t="s">
        <v>999</v>
      </c>
      <c r="F865" s="20" t="s">
        <v>134</v>
      </c>
      <c r="G865" s="397">
        <v>0</v>
      </c>
      <c r="H865" s="397">
        <v>0</v>
      </c>
      <c r="I865" s="192"/>
    </row>
    <row r="866" spans="1:13" ht="31.5" x14ac:dyDescent="0.25">
      <c r="A866" s="34" t="s">
        <v>1061</v>
      </c>
      <c r="B866" s="19">
        <v>908</v>
      </c>
      <c r="C866" s="24" t="s">
        <v>150</v>
      </c>
      <c r="D866" s="24" t="s">
        <v>219</v>
      </c>
      <c r="E866" s="24" t="s">
        <v>958</v>
      </c>
      <c r="F866" s="24"/>
      <c r="G866" s="393">
        <f t="shared" ref="G866:H870" si="84">G867</f>
        <v>2127.6</v>
      </c>
      <c r="H866" s="393">
        <f t="shared" si="84"/>
        <v>1949.1</v>
      </c>
      <c r="I866" s="192"/>
    </row>
    <row r="867" spans="1:13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1001</v>
      </c>
      <c r="F867" s="20"/>
      <c r="G867" s="397">
        <f>G870+G868</f>
        <v>2127.6</v>
      </c>
      <c r="H867" s="397">
        <f>H870+H868</f>
        <v>1949.1</v>
      </c>
      <c r="I867" s="192"/>
    </row>
    <row r="868" spans="1:13" s="191" customFormat="1" ht="78.75" x14ac:dyDescent="0.25">
      <c r="A868" s="396" t="s">
        <v>127</v>
      </c>
      <c r="B868" s="16">
        <v>908</v>
      </c>
      <c r="C868" s="20" t="s">
        <v>150</v>
      </c>
      <c r="D868" s="20" t="s">
        <v>219</v>
      </c>
      <c r="E868" s="40" t="s">
        <v>1001</v>
      </c>
      <c r="F868" s="20" t="s">
        <v>128</v>
      </c>
      <c r="G868" s="397">
        <f>G869</f>
        <v>1807</v>
      </c>
      <c r="H868" s="397">
        <f>H869</f>
        <v>1807</v>
      </c>
      <c r="I868" s="192"/>
    </row>
    <row r="869" spans="1:13" s="191" customFormat="1" ht="24" customHeight="1" x14ac:dyDescent="0.25">
      <c r="A869" s="396" t="s">
        <v>342</v>
      </c>
      <c r="B869" s="16">
        <v>908</v>
      </c>
      <c r="C869" s="20" t="s">
        <v>150</v>
      </c>
      <c r="D869" s="20" t="s">
        <v>219</v>
      </c>
      <c r="E869" s="40" t="s">
        <v>1001</v>
      </c>
      <c r="F869" s="20" t="s">
        <v>209</v>
      </c>
      <c r="G869" s="397">
        <v>1807</v>
      </c>
      <c r="H869" s="397">
        <f>G869</f>
        <v>1807</v>
      </c>
      <c r="I869" s="192"/>
    </row>
    <row r="870" spans="1:13" ht="31.5" x14ac:dyDescent="0.25">
      <c r="A870" s="396" t="s">
        <v>131</v>
      </c>
      <c r="B870" s="16">
        <v>908</v>
      </c>
      <c r="C870" s="20" t="s">
        <v>150</v>
      </c>
      <c r="D870" s="20" t="s">
        <v>219</v>
      </c>
      <c r="E870" s="40" t="s">
        <v>1001</v>
      </c>
      <c r="F870" s="20" t="s">
        <v>132</v>
      </c>
      <c r="G870" s="397">
        <f t="shared" si="84"/>
        <v>320.60000000000002</v>
      </c>
      <c r="H870" s="397">
        <f t="shared" si="84"/>
        <v>142.10000000000002</v>
      </c>
      <c r="I870" s="192"/>
    </row>
    <row r="871" spans="1:13" ht="31.5" x14ac:dyDescent="0.25">
      <c r="A871" s="396" t="s">
        <v>133</v>
      </c>
      <c r="B871" s="16">
        <v>908</v>
      </c>
      <c r="C871" s="20" t="s">
        <v>150</v>
      </c>
      <c r="D871" s="20" t="s">
        <v>219</v>
      </c>
      <c r="E871" s="40" t="s">
        <v>1001</v>
      </c>
      <c r="F871" s="20" t="s">
        <v>134</v>
      </c>
      <c r="G871" s="397">
        <f>1793+350-761+88.8-958.8-191.4</f>
        <v>320.60000000000002</v>
      </c>
      <c r="H871" s="397">
        <f>320.6-178.5</f>
        <v>142.10000000000002</v>
      </c>
      <c r="I871" s="192"/>
      <c r="L871">
        <v>-191.4</v>
      </c>
      <c r="M871">
        <v>-369.9</v>
      </c>
    </row>
    <row r="872" spans="1:13" ht="15.75" hidden="1" x14ac:dyDescent="0.25">
      <c r="A872" s="396" t="s">
        <v>135</v>
      </c>
      <c r="B872" s="16">
        <v>908</v>
      </c>
      <c r="C872" s="20" t="s">
        <v>150</v>
      </c>
      <c r="D872" s="20" t="s">
        <v>219</v>
      </c>
      <c r="E872" s="40" t="s">
        <v>1001</v>
      </c>
      <c r="F872" s="20" t="s">
        <v>145</v>
      </c>
      <c r="G872" s="397">
        <f>'Пр.4 ведом.21'!G1005</f>
        <v>0</v>
      </c>
      <c r="H872" s="397">
        <f t="shared" si="80"/>
        <v>0</v>
      </c>
      <c r="I872" s="192"/>
    </row>
    <row r="873" spans="1:13" ht="15.75" hidden="1" x14ac:dyDescent="0.25">
      <c r="A873" s="396" t="s">
        <v>568</v>
      </c>
      <c r="B873" s="16">
        <v>908</v>
      </c>
      <c r="C873" s="20" t="s">
        <v>150</v>
      </c>
      <c r="D873" s="20" t="s">
        <v>219</v>
      </c>
      <c r="E873" s="40" t="s">
        <v>1001</v>
      </c>
      <c r="F873" s="20" t="s">
        <v>138</v>
      </c>
      <c r="G873" s="397">
        <f>'Пр.4 ведом.21'!G1006</f>
        <v>0</v>
      </c>
      <c r="H873" s="397">
        <f t="shared" si="80"/>
        <v>0</v>
      </c>
      <c r="I873" s="192"/>
    </row>
    <row r="874" spans="1:13" ht="15.75" x14ac:dyDescent="0.25">
      <c r="A874" s="394" t="s">
        <v>390</v>
      </c>
      <c r="B874" s="19">
        <v>908</v>
      </c>
      <c r="C874" s="24" t="s">
        <v>234</v>
      </c>
      <c r="D874" s="24"/>
      <c r="E874" s="24"/>
      <c r="F874" s="24"/>
      <c r="G874" s="393">
        <f>G875+G889+G953+G1003</f>
        <v>39238.6</v>
      </c>
      <c r="H874" s="393">
        <f>H875+H889+H953+H1003</f>
        <v>47663.450000000004</v>
      </c>
      <c r="I874" s="192"/>
    </row>
    <row r="875" spans="1:13" ht="15.75" x14ac:dyDescent="0.25">
      <c r="A875" s="394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393">
        <f>G876</f>
        <v>5790</v>
      </c>
      <c r="H875" s="393">
        <f>H876</f>
        <v>5790</v>
      </c>
      <c r="I875" s="192"/>
    </row>
    <row r="876" spans="1:13" ht="15.75" x14ac:dyDescent="0.25">
      <c r="A876" s="394" t="s">
        <v>141</v>
      </c>
      <c r="B876" s="19">
        <v>908</v>
      </c>
      <c r="C876" s="24" t="s">
        <v>234</v>
      </c>
      <c r="D876" s="24" t="s">
        <v>118</v>
      </c>
      <c r="E876" s="24" t="s">
        <v>865</v>
      </c>
      <c r="F876" s="24"/>
      <c r="G876" s="393">
        <f>G877</f>
        <v>5790</v>
      </c>
      <c r="H876" s="393">
        <f>H877</f>
        <v>5790</v>
      </c>
      <c r="I876" s="192"/>
    </row>
    <row r="877" spans="1:13" ht="31.5" x14ac:dyDescent="0.25">
      <c r="A877" s="394" t="s">
        <v>869</v>
      </c>
      <c r="B877" s="19">
        <v>908</v>
      </c>
      <c r="C877" s="24" t="s">
        <v>234</v>
      </c>
      <c r="D877" s="24" t="s">
        <v>118</v>
      </c>
      <c r="E877" s="24" t="s">
        <v>864</v>
      </c>
      <c r="F877" s="24"/>
      <c r="G877" s="393">
        <f>G886+G883+G878</f>
        <v>5790</v>
      </c>
      <c r="H877" s="393">
        <f>H886+H883+H878</f>
        <v>5790</v>
      </c>
      <c r="I877" s="192"/>
    </row>
    <row r="878" spans="1:13" ht="15.75" hidden="1" x14ac:dyDescent="0.25">
      <c r="A878" s="396" t="s">
        <v>515</v>
      </c>
      <c r="B878" s="16">
        <v>908</v>
      </c>
      <c r="C878" s="20" t="s">
        <v>774</v>
      </c>
      <c r="D878" s="20" t="s">
        <v>118</v>
      </c>
      <c r="E878" s="20" t="s">
        <v>959</v>
      </c>
      <c r="F878" s="24"/>
      <c r="G878" s="397">
        <f>G879</f>
        <v>0</v>
      </c>
      <c r="H878" s="397">
        <f t="shared" si="80"/>
        <v>0</v>
      </c>
      <c r="I878" s="192"/>
    </row>
    <row r="879" spans="1:13" ht="31.5" hidden="1" x14ac:dyDescent="0.25">
      <c r="A879" s="396" t="s">
        <v>131</v>
      </c>
      <c r="B879" s="16">
        <v>908</v>
      </c>
      <c r="C879" s="20" t="s">
        <v>234</v>
      </c>
      <c r="D879" s="20" t="s">
        <v>118</v>
      </c>
      <c r="E879" s="20" t="s">
        <v>959</v>
      </c>
      <c r="F879" s="20" t="s">
        <v>132</v>
      </c>
      <c r="G879" s="397">
        <f>G880</f>
        <v>0</v>
      </c>
      <c r="H879" s="397">
        <f t="shared" si="80"/>
        <v>0</v>
      </c>
      <c r="I879" s="192"/>
    </row>
    <row r="880" spans="1:13" ht="31.5" hidden="1" x14ac:dyDescent="0.25">
      <c r="A880" s="396" t="s">
        <v>133</v>
      </c>
      <c r="B880" s="16">
        <v>908</v>
      </c>
      <c r="C880" s="20" t="s">
        <v>234</v>
      </c>
      <c r="D880" s="20" t="s">
        <v>118</v>
      </c>
      <c r="E880" s="20" t="s">
        <v>959</v>
      </c>
      <c r="F880" s="20" t="s">
        <v>134</v>
      </c>
      <c r="G880" s="397">
        <v>0</v>
      </c>
      <c r="H880" s="397">
        <f t="shared" si="80"/>
        <v>0</v>
      </c>
      <c r="I880" s="192"/>
    </row>
    <row r="881" spans="1:9" ht="15.75" hidden="1" x14ac:dyDescent="0.25">
      <c r="A881" s="396" t="s">
        <v>135</v>
      </c>
      <c r="B881" s="16">
        <v>908</v>
      </c>
      <c r="C881" s="20" t="s">
        <v>234</v>
      </c>
      <c r="D881" s="20" t="s">
        <v>118</v>
      </c>
      <c r="E881" s="20" t="s">
        <v>959</v>
      </c>
      <c r="F881" s="20" t="s">
        <v>145</v>
      </c>
      <c r="G881" s="397">
        <f>'Пр.4 ведом.21'!G1014</f>
        <v>0</v>
      </c>
      <c r="H881" s="397">
        <f t="shared" si="80"/>
        <v>0</v>
      </c>
      <c r="I881" s="192"/>
    </row>
    <row r="882" spans="1:9" ht="47.25" hidden="1" x14ac:dyDescent="0.25">
      <c r="A882" s="396" t="s">
        <v>184</v>
      </c>
      <c r="B882" s="16">
        <v>908</v>
      </c>
      <c r="C882" s="20" t="s">
        <v>234</v>
      </c>
      <c r="D882" s="20" t="s">
        <v>118</v>
      </c>
      <c r="E882" s="20" t="s">
        <v>959</v>
      </c>
      <c r="F882" s="20" t="s">
        <v>160</v>
      </c>
      <c r="G882" s="397">
        <f>'Пр.4 ведом.21'!G1015</f>
        <v>0</v>
      </c>
      <c r="H882" s="397">
        <f t="shared" si="80"/>
        <v>0</v>
      </c>
      <c r="I882" s="192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960</v>
      </c>
      <c r="F883" s="24"/>
      <c r="G883" s="397">
        <f>G884</f>
        <v>4650</v>
      </c>
      <c r="H883" s="397">
        <f>H884</f>
        <v>4650</v>
      </c>
      <c r="I883" s="192"/>
    </row>
    <row r="884" spans="1:9" ht="31.5" x14ac:dyDescent="0.25">
      <c r="A884" s="396" t="s">
        <v>131</v>
      </c>
      <c r="B884" s="16">
        <v>908</v>
      </c>
      <c r="C884" s="20" t="s">
        <v>234</v>
      </c>
      <c r="D884" s="20" t="s">
        <v>118</v>
      </c>
      <c r="E884" s="20" t="s">
        <v>960</v>
      </c>
      <c r="F884" s="20" t="s">
        <v>132</v>
      </c>
      <c r="G884" s="397">
        <f>G885</f>
        <v>4650</v>
      </c>
      <c r="H884" s="397">
        <f>H885</f>
        <v>4650</v>
      </c>
      <c r="I884" s="192"/>
    </row>
    <row r="885" spans="1:9" ht="31.5" x14ac:dyDescent="0.25">
      <c r="A885" s="396" t="s">
        <v>133</v>
      </c>
      <c r="B885" s="16">
        <v>908</v>
      </c>
      <c r="C885" s="20" t="s">
        <v>234</v>
      </c>
      <c r="D885" s="20" t="s">
        <v>118</v>
      </c>
      <c r="E885" s="20" t="s">
        <v>960</v>
      </c>
      <c r="F885" s="20" t="s">
        <v>134</v>
      </c>
      <c r="G885" s="397">
        <v>4650</v>
      </c>
      <c r="H885" s="397">
        <f t="shared" si="80"/>
        <v>4650</v>
      </c>
      <c r="I885" s="192"/>
    </row>
    <row r="886" spans="1:9" ht="31.5" x14ac:dyDescent="0.25">
      <c r="A886" s="29" t="s">
        <v>931</v>
      </c>
      <c r="B886" s="16">
        <v>908</v>
      </c>
      <c r="C886" s="20" t="s">
        <v>234</v>
      </c>
      <c r="D886" s="20" t="s">
        <v>118</v>
      </c>
      <c r="E886" s="20" t="s">
        <v>961</v>
      </c>
      <c r="F886" s="24"/>
      <c r="G886" s="397">
        <f>G887</f>
        <v>1140</v>
      </c>
      <c r="H886" s="397">
        <f>H887</f>
        <v>1140</v>
      </c>
      <c r="I886" s="192"/>
    </row>
    <row r="887" spans="1:9" ht="31.5" x14ac:dyDescent="0.25">
      <c r="A887" s="396" t="s">
        <v>131</v>
      </c>
      <c r="B887" s="16">
        <v>908</v>
      </c>
      <c r="C887" s="20" t="s">
        <v>234</v>
      </c>
      <c r="D887" s="20" t="s">
        <v>118</v>
      </c>
      <c r="E887" s="20" t="s">
        <v>961</v>
      </c>
      <c r="F887" s="20" t="s">
        <v>132</v>
      </c>
      <c r="G887" s="397">
        <f>G888</f>
        <v>1140</v>
      </c>
      <c r="H887" s="397">
        <f>H888</f>
        <v>1140</v>
      </c>
      <c r="I887" s="192"/>
    </row>
    <row r="888" spans="1:9" ht="31.5" x14ac:dyDescent="0.25">
      <c r="A888" s="396" t="s">
        <v>133</v>
      </c>
      <c r="B888" s="16">
        <v>908</v>
      </c>
      <c r="C888" s="20" t="s">
        <v>234</v>
      </c>
      <c r="D888" s="20" t="s">
        <v>118</v>
      </c>
      <c r="E888" s="20" t="s">
        <v>961</v>
      </c>
      <c r="F888" s="20" t="s">
        <v>134</v>
      </c>
      <c r="G888" s="397">
        <f>1140</f>
        <v>1140</v>
      </c>
      <c r="H888" s="397">
        <f t="shared" si="80"/>
        <v>1140</v>
      </c>
      <c r="I888" s="192"/>
    </row>
    <row r="889" spans="1:9" ht="15.75" x14ac:dyDescent="0.25">
      <c r="A889" s="394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393">
        <f>G890+G919+G948</f>
        <v>4334.0999999999985</v>
      </c>
      <c r="H889" s="393">
        <f>H890+H919+H948</f>
        <v>12505.950000000003</v>
      </c>
      <c r="I889" s="192"/>
    </row>
    <row r="890" spans="1:9" ht="15.75" x14ac:dyDescent="0.25">
      <c r="A890" s="394" t="s">
        <v>141</v>
      </c>
      <c r="B890" s="19">
        <v>908</v>
      </c>
      <c r="C890" s="24" t="s">
        <v>234</v>
      </c>
      <c r="D890" s="24" t="s">
        <v>213</v>
      </c>
      <c r="E890" s="24" t="s">
        <v>865</v>
      </c>
      <c r="F890" s="24"/>
      <c r="G890" s="393">
        <f>G891+G902</f>
        <v>3430.0999999999981</v>
      </c>
      <c r="H890" s="393">
        <f>H891+H902</f>
        <v>11590.950000000003</v>
      </c>
      <c r="I890" s="192"/>
    </row>
    <row r="891" spans="1:9" ht="31.5" x14ac:dyDescent="0.25">
      <c r="A891" s="394" t="s">
        <v>869</v>
      </c>
      <c r="B891" s="19">
        <v>908</v>
      </c>
      <c r="C891" s="24" t="s">
        <v>234</v>
      </c>
      <c r="D891" s="24" t="s">
        <v>213</v>
      </c>
      <c r="E891" s="24" t="s">
        <v>864</v>
      </c>
      <c r="F891" s="24"/>
      <c r="G891" s="393">
        <f>G892+G897</f>
        <v>3430.0999999999981</v>
      </c>
      <c r="H891" s="393">
        <f>H892+H897</f>
        <v>11590.950000000003</v>
      </c>
      <c r="I891" s="192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978</v>
      </c>
      <c r="F892" s="20"/>
      <c r="G892" s="397">
        <f>G893+G895</f>
        <v>0</v>
      </c>
      <c r="H892" s="397">
        <f t="shared" si="80"/>
        <v>0</v>
      </c>
      <c r="I892" s="192"/>
    </row>
    <row r="893" spans="1:9" ht="31.5" hidden="1" x14ac:dyDescent="0.25">
      <c r="A893" s="396" t="s">
        <v>131</v>
      </c>
      <c r="B893" s="16">
        <v>908</v>
      </c>
      <c r="C893" s="20" t="s">
        <v>234</v>
      </c>
      <c r="D893" s="20" t="s">
        <v>213</v>
      </c>
      <c r="E893" s="20" t="s">
        <v>978</v>
      </c>
      <c r="F893" s="20" t="s">
        <v>132</v>
      </c>
      <c r="G893" s="397">
        <f>G894</f>
        <v>0</v>
      </c>
      <c r="H893" s="397">
        <f t="shared" si="80"/>
        <v>0</v>
      </c>
      <c r="I893" s="192"/>
    </row>
    <row r="894" spans="1:9" ht="31.5" hidden="1" x14ac:dyDescent="0.25">
      <c r="A894" s="396" t="s">
        <v>133</v>
      </c>
      <c r="B894" s="16">
        <v>908</v>
      </c>
      <c r="C894" s="20" t="s">
        <v>234</v>
      </c>
      <c r="D894" s="20" t="s">
        <v>213</v>
      </c>
      <c r="E894" s="20" t="s">
        <v>978</v>
      </c>
      <c r="F894" s="20" t="s">
        <v>134</v>
      </c>
      <c r="G894" s="397">
        <v>0</v>
      </c>
      <c r="H894" s="397">
        <f t="shared" si="80"/>
        <v>0</v>
      </c>
      <c r="I894" s="192"/>
    </row>
    <row r="895" spans="1:9" ht="15.75" hidden="1" x14ac:dyDescent="0.25">
      <c r="A895" s="396" t="s">
        <v>135</v>
      </c>
      <c r="B895" s="16">
        <v>908</v>
      </c>
      <c r="C895" s="20" t="s">
        <v>234</v>
      </c>
      <c r="D895" s="20" t="s">
        <v>213</v>
      </c>
      <c r="E895" s="20" t="s">
        <v>978</v>
      </c>
      <c r="F895" s="20" t="s">
        <v>145</v>
      </c>
      <c r="G895" s="397">
        <f>G896</f>
        <v>0</v>
      </c>
      <c r="H895" s="397">
        <f t="shared" si="80"/>
        <v>0</v>
      </c>
      <c r="I895" s="192"/>
    </row>
    <row r="896" spans="1:9" ht="47.25" hidden="1" x14ac:dyDescent="0.25">
      <c r="A896" s="396" t="s">
        <v>184</v>
      </c>
      <c r="B896" s="16">
        <v>908</v>
      </c>
      <c r="C896" s="20" t="s">
        <v>234</v>
      </c>
      <c r="D896" s="20" t="s">
        <v>213</v>
      </c>
      <c r="E896" s="20" t="s">
        <v>978</v>
      </c>
      <c r="F896" s="20" t="s">
        <v>160</v>
      </c>
      <c r="G896" s="397">
        <f>'Пр.4 ведом.21'!G1032</f>
        <v>0</v>
      </c>
      <c r="H896" s="397">
        <f t="shared" si="80"/>
        <v>0</v>
      </c>
      <c r="I896" s="192"/>
    </row>
    <row r="897" spans="1:13" ht="31.5" x14ac:dyDescent="0.25">
      <c r="A897" s="29" t="s">
        <v>931</v>
      </c>
      <c r="B897" s="16">
        <v>908</v>
      </c>
      <c r="C897" s="20" t="s">
        <v>234</v>
      </c>
      <c r="D897" s="20" t="s">
        <v>213</v>
      </c>
      <c r="E897" s="20" t="s">
        <v>961</v>
      </c>
      <c r="F897" s="20"/>
      <c r="G897" s="397">
        <f>G898</f>
        <v>3430.0999999999981</v>
      </c>
      <c r="H897" s="397">
        <f>H898</f>
        <v>11590.950000000003</v>
      </c>
      <c r="I897" s="192"/>
    </row>
    <row r="898" spans="1:13" ht="31.5" x14ac:dyDescent="0.25">
      <c r="A898" s="396" t="s">
        <v>131</v>
      </c>
      <c r="B898" s="16">
        <v>908</v>
      </c>
      <c r="C898" s="20" t="s">
        <v>234</v>
      </c>
      <c r="D898" s="20" t="s">
        <v>213</v>
      </c>
      <c r="E898" s="20" t="s">
        <v>961</v>
      </c>
      <c r="F898" s="20" t="s">
        <v>132</v>
      </c>
      <c r="G898" s="397">
        <f>G899</f>
        <v>3430.0999999999981</v>
      </c>
      <c r="H898" s="397">
        <f>H899</f>
        <v>11590.950000000003</v>
      </c>
      <c r="I898" s="192"/>
    </row>
    <row r="899" spans="1:13" ht="31.5" x14ac:dyDescent="0.25">
      <c r="A899" s="396" t="s">
        <v>133</v>
      </c>
      <c r="B899" s="16">
        <v>908</v>
      </c>
      <c r="C899" s="20" t="s">
        <v>234</v>
      </c>
      <c r="D899" s="20" t="s">
        <v>213</v>
      </c>
      <c r="E899" s="20" t="s">
        <v>961</v>
      </c>
      <c r="F899" s="20" t="s">
        <v>134</v>
      </c>
      <c r="G899" s="397">
        <f>14881.91-4224.29+2030.8-4000-3375.3+394.08-633.8-1706.6+63.3</f>
        <v>3430.0999999999981</v>
      </c>
      <c r="H899" s="397">
        <f>16519.25-3375.3+411.6-633.8-1330.8</f>
        <v>11590.950000000003</v>
      </c>
      <c r="I899" s="192"/>
      <c r="L899">
        <v>-2340.4</v>
      </c>
      <c r="M899">
        <v>-1964.6</v>
      </c>
    </row>
    <row r="900" spans="1:13" ht="15.75" x14ac:dyDescent="0.25">
      <c r="A900" s="396" t="s">
        <v>135</v>
      </c>
      <c r="B900" s="16">
        <v>908</v>
      </c>
      <c r="C900" s="20" t="s">
        <v>234</v>
      </c>
      <c r="D900" s="20" t="s">
        <v>213</v>
      </c>
      <c r="E900" s="20" t="s">
        <v>961</v>
      </c>
      <c r="F900" s="20" t="s">
        <v>145</v>
      </c>
      <c r="G900" s="397">
        <f>'Пр.4 ведом.21'!G1037</f>
        <v>50</v>
      </c>
      <c r="H900" s="397">
        <f t="shared" si="80"/>
        <v>50</v>
      </c>
      <c r="I900" s="192"/>
    </row>
    <row r="901" spans="1:13" ht="15.75" x14ac:dyDescent="0.25">
      <c r="A901" s="396" t="s">
        <v>146</v>
      </c>
      <c r="B901" s="16">
        <v>908</v>
      </c>
      <c r="C901" s="20" t="s">
        <v>234</v>
      </c>
      <c r="D901" s="20" t="s">
        <v>213</v>
      </c>
      <c r="E901" s="20" t="s">
        <v>961</v>
      </c>
      <c r="F901" s="20" t="s">
        <v>147</v>
      </c>
      <c r="G901" s="397">
        <f>'Пр.4 ведом.21'!G1038</f>
        <v>50</v>
      </c>
      <c r="H901" s="397">
        <f t="shared" si="80"/>
        <v>50</v>
      </c>
      <c r="I901" s="192"/>
    </row>
    <row r="902" spans="1:13" ht="47.25" hidden="1" x14ac:dyDescent="0.25">
      <c r="A902" s="394" t="s">
        <v>1012</v>
      </c>
      <c r="B902" s="19">
        <v>908</v>
      </c>
      <c r="C902" s="24" t="s">
        <v>234</v>
      </c>
      <c r="D902" s="24" t="s">
        <v>213</v>
      </c>
      <c r="E902" s="24" t="s">
        <v>979</v>
      </c>
      <c r="F902" s="24"/>
      <c r="G902" s="393">
        <f>G903+G911+G908+G916</f>
        <v>0</v>
      </c>
      <c r="H902" s="393">
        <f>H903+H911+H908+H916</f>
        <v>0</v>
      </c>
      <c r="I902" s="192"/>
    </row>
    <row r="903" spans="1:13" ht="47.25" hidden="1" x14ac:dyDescent="0.25">
      <c r="A903" s="396" t="s">
        <v>826</v>
      </c>
      <c r="B903" s="16">
        <v>908</v>
      </c>
      <c r="C903" s="20" t="s">
        <v>234</v>
      </c>
      <c r="D903" s="20" t="s">
        <v>213</v>
      </c>
      <c r="E903" s="20" t="s">
        <v>980</v>
      </c>
      <c r="F903" s="20"/>
      <c r="G903" s="397">
        <f>G904</f>
        <v>0</v>
      </c>
      <c r="H903" s="397">
        <f t="shared" ref="H903:H973" si="85">G903</f>
        <v>0</v>
      </c>
      <c r="I903" s="192"/>
    </row>
    <row r="904" spans="1:13" ht="31.5" hidden="1" x14ac:dyDescent="0.25">
      <c r="A904" s="396" t="s">
        <v>131</v>
      </c>
      <c r="B904" s="16">
        <v>908</v>
      </c>
      <c r="C904" s="20" t="s">
        <v>234</v>
      </c>
      <c r="D904" s="20" t="s">
        <v>213</v>
      </c>
      <c r="E904" s="20" t="s">
        <v>980</v>
      </c>
      <c r="F904" s="20" t="s">
        <v>132</v>
      </c>
      <c r="G904" s="397">
        <f>G905</f>
        <v>0</v>
      </c>
      <c r="H904" s="397">
        <f t="shared" si="85"/>
        <v>0</v>
      </c>
      <c r="I904" s="192"/>
    </row>
    <row r="905" spans="1:13" ht="31.5" hidden="1" x14ac:dyDescent="0.25">
      <c r="A905" s="396" t="s">
        <v>133</v>
      </c>
      <c r="B905" s="16">
        <v>908</v>
      </c>
      <c r="C905" s="20" t="s">
        <v>234</v>
      </c>
      <c r="D905" s="20" t="s">
        <v>213</v>
      </c>
      <c r="E905" s="20" t="s">
        <v>980</v>
      </c>
      <c r="F905" s="20" t="s">
        <v>134</v>
      </c>
      <c r="G905" s="397">
        <v>0</v>
      </c>
      <c r="H905" s="397">
        <f t="shared" si="85"/>
        <v>0</v>
      </c>
      <c r="I905" s="192"/>
    </row>
    <row r="906" spans="1:13" ht="15.75" hidden="1" x14ac:dyDescent="0.25">
      <c r="A906" s="396" t="s">
        <v>135</v>
      </c>
      <c r="B906" s="16">
        <v>908</v>
      </c>
      <c r="C906" s="20" t="s">
        <v>234</v>
      </c>
      <c r="D906" s="20" t="s">
        <v>213</v>
      </c>
      <c r="E906" s="20" t="s">
        <v>980</v>
      </c>
      <c r="F906" s="20" t="s">
        <v>836</v>
      </c>
      <c r="G906" s="397">
        <f>'Пр.4 ведом.21'!G1043</f>
        <v>0</v>
      </c>
      <c r="H906" s="397">
        <f t="shared" si="85"/>
        <v>0</v>
      </c>
      <c r="I906" s="192"/>
    </row>
    <row r="907" spans="1:13" ht="15.75" hidden="1" x14ac:dyDescent="0.25">
      <c r="A907" s="396" t="s">
        <v>568</v>
      </c>
      <c r="B907" s="16">
        <v>908</v>
      </c>
      <c r="C907" s="20" t="s">
        <v>234</v>
      </c>
      <c r="D907" s="20" t="s">
        <v>213</v>
      </c>
      <c r="E907" s="20" t="s">
        <v>980</v>
      </c>
      <c r="F907" s="20" t="s">
        <v>1068</v>
      </c>
      <c r="G907" s="397">
        <f>'Пр.4 ведом.21'!G1044</f>
        <v>0</v>
      </c>
      <c r="H907" s="397">
        <f t="shared" si="85"/>
        <v>0</v>
      </c>
      <c r="I907" s="192"/>
    </row>
    <row r="908" spans="1:13" ht="63" hidden="1" x14ac:dyDescent="0.25">
      <c r="A908" s="396" t="s">
        <v>793</v>
      </c>
      <c r="B908" s="16">
        <v>908</v>
      </c>
      <c r="C908" s="20" t="s">
        <v>234</v>
      </c>
      <c r="D908" s="20" t="s">
        <v>213</v>
      </c>
      <c r="E908" s="20" t="s">
        <v>981</v>
      </c>
      <c r="F908" s="20"/>
      <c r="G908" s="397">
        <f>'Пр.4 ведом.21'!G1045</f>
        <v>0</v>
      </c>
      <c r="H908" s="397">
        <f t="shared" si="85"/>
        <v>0</v>
      </c>
      <c r="I908" s="192"/>
    </row>
    <row r="909" spans="1:13" ht="31.5" hidden="1" x14ac:dyDescent="0.25">
      <c r="A909" s="396" t="s">
        <v>131</v>
      </c>
      <c r="B909" s="16">
        <v>908</v>
      </c>
      <c r="C909" s="20" t="s">
        <v>234</v>
      </c>
      <c r="D909" s="20" t="s">
        <v>213</v>
      </c>
      <c r="E909" s="20" t="s">
        <v>981</v>
      </c>
      <c r="F909" s="20" t="s">
        <v>132</v>
      </c>
      <c r="G909" s="397">
        <f>'Пр.4 ведом.21'!G1046</f>
        <v>0</v>
      </c>
      <c r="H909" s="397">
        <f t="shared" si="85"/>
        <v>0</v>
      </c>
      <c r="I909" s="192"/>
    </row>
    <row r="910" spans="1:13" ht="31.5" hidden="1" x14ac:dyDescent="0.25">
      <c r="A910" s="396" t="s">
        <v>133</v>
      </c>
      <c r="B910" s="16">
        <v>908</v>
      </c>
      <c r="C910" s="20" t="s">
        <v>234</v>
      </c>
      <c r="D910" s="20" t="s">
        <v>213</v>
      </c>
      <c r="E910" s="20" t="s">
        <v>981</v>
      </c>
      <c r="F910" s="20" t="s">
        <v>134</v>
      </c>
      <c r="G910" s="397">
        <f>'Пр.4 ведом.21'!G1047</f>
        <v>0</v>
      </c>
      <c r="H910" s="397">
        <f t="shared" si="85"/>
        <v>0</v>
      </c>
      <c r="I910" s="192"/>
    </row>
    <row r="911" spans="1:13" ht="47.25" hidden="1" x14ac:dyDescent="0.25">
      <c r="A911" s="97" t="s">
        <v>832</v>
      </c>
      <c r="B911" s="16">
        <v>908</v>
      </c>
      <c r="C911" s="20" t="s">
        <v>234</v>
      </c>
      <c r="D911" s="20" t="s">
        <v>213</v>
      </c>
      <c r="E911" s="20" t="s">
        <v>982</v>
      </c>
      <c r="F911" s="20"/>
      <c r="G911" s="397">
        <f>'Пр.4 ведом.21'!G1048</f>
        <v>0</v>
      </c>
      <c r="H911" s="397">
        <f t="shared" si="85"/>
        <v>0</v>
      </c>
      <c r="I911" s="192"/>
    </row>
    <row r="912" spans="1:13" ht="31.5" hidden="1" x14ac:dyDescent="0.25">
      <c r="A912" s="396" t="s">
        <v>837</v>
      </c>
      <c r="B912" s="16">
        <v>908</v>
      </c>
      <c r="C912" s="20" t="s">
        <v>234</v>
      </c>
      <c r="D912" s="20" t="s">
        <v>213</v>
      </c>
      <c r="E912" s="20" t="s">
        <v>982</v>
      </c>
      <c r="F912" s="20" t="s">
        <v>836</v>
      </c>
      <c r="G912" s="397">
        <f>'Пр.4 ведом.21'!G1049</f>
        <v>0</v>
      </c>
      <c r="H912" s="397">
        <f t="shared" si="85"/>
        <v>0</v>
      </c>
      <c r="I912" s="192"/>
    </row>
    <row r="913" spans="1:9" ht="63" hidden="1" x14ac:dyDescent="0.25">
      <c r="A913" s="396" t="s">
        <v>1049</v>
      </c>
      <c r="B913" s="16">
        <v>908</v>
      </c>
      <c r="C913" s="20" t="s">
        <v>234</v>
      </c>
      <c r="D913" s="20" t="s">
        <v>213</v>
      </c>
      <c r="E913" s="20" t="s">
        <v>982</v>
      </c>
      <c r="F913" s="20" t="s">
        <v>1068</v>
      </c>
      <c r="G913" s="397">
        <f>'Пр.4 ведом.21'!G1050</f>
        <v>0</v>
      </c>
      <c r="H913" s="397">
        <f t="shared" si="85"/>
        <v>0</v>
      </c>
      <c r="I913" s="192"/>
    </row>
    <row r="914" spans="1:9" ht="15.75" hidden="1" x14ac:dyDescent="0.25">
      <c r="A914" s="396" t="s">
        <v>135</v>
      </c>
      <c r="B914" s="16">
        <v>908</v>
      </c>
      <c r="C914" s="20" t="s">
        <v>234</v>
      </c>
      <c r="D914" s="20" t="s">
        <v>213</v>
      </c>
      <c r="E914" s="20" t="s">
        <v>982</v>
      </c>
      <c r="F914" s="20" t="s">
        <v>145</v>
      </c>
      <c r="G914" s="397">
        <f>'Пр.4 ведом.21'!G1051</f>
        <v>0</v>
      </c>
      <c r="H914" s="397">
        <f t="shared" si="85"/>
        <v>0</v>
      </c>
      <c r="I914" s="192"/>
    </row>
    <row r="915" spans="1:9" ht="15.75" hidden="1" x14ac:dyDescent="0.25">
      <c r="A915" s="396" t="s">
        <v>704</v>
      </c>
      <c r="B915" s="16">
        <v>908</v>
      </c>
      <c r="C915" s="20" t="s">
        <v>234</v>
      </c>
      <c r="D915" s="20" t="s">
        <v>213</v>
      </c>
      <c r="E915" s="20" t="s">
        <v>982</v>
      </c>
      <c r="F915" s="20" t="s">
        <v>138</v>
      </c>
      <c r="G915" s="397">
        <f>'Пр.4 ведом.21'!G1052</f>
        <v>0</v>
      </c>
      <c r="H915" s="397">
        <f t="shared" si="85"/>
        <v>0</v>
      </c>
      <c r="I915" s="192"/>
    </row>
    <row r="916" spans="1:9" ht="31.5" hidden="1" x14ac:dyDescent="0.25">
      <c r="A916" s="396" t="s">
        <v>1069</v>
      </c>
      <c r="B916" s="16">
        <v>908</v>
      </c>
      <c r="C916" s="20" t="s">
        <v>234</v>
      </c>
      <c r="D916" s="20" t="s">
        <v>213</v>
      </c>
      <c r="E916" s="20" t="s">
        <v>1070</v>
      </c>
      <c r="F916" s="20"/>
      <c r="G916" s="397">
        <f>'Пр.4 ведом.21'!G1053</f>
        <v>0</v>
      </c>
      <c r="H916" s="397">
        <f t="shared" si="85"/>
        <v>0</v>
      </c>
      <c r="I916" s="192"/>
    </row>
    <row r="917" spans="1:9" ht="31.5" hidden="1" x14ac:dyDescent="0.25">
      <c r="A917" s="396" t="s">
        <v>131</v>
      </c>
      <c r="B917" s="16">
        <v>908</v>
      </c>
      <c r="C917" s="20" t="s">
        <v>234</v>
      </c>
      <c r="D917" s="20" t="s">
        <v>213</v>
      </c>
      <c r="E917" s="20" t="s">
        <v>1070</v>
      </c>
      <c r="F917" s="20" t="s">
        <v>132</v>
      </c>
      <c r="G917" s="397">
        <f>'Пр.4 ведом.21'!G1054</f>
        <v>0</v>
      </c>
      <c r="H917" s="397">
        <f t="shared" si="85"/>
        <v>0</v>
      </c>
      <c r="I917" s="192"/>
    </row>
    <row r="918" spans="1:9" ht="31.5" hidden="1" x14ac:dyDescent="0.25">
      <c r="A918" s="396" t="s">
        <v>133</v>
      </c>
      <c r="B918" s="16">
        <v>908</v>
      </c>
      <c r="C918" s="20" t="s">
        <v>234</v>
      </c>
      <c r="D918" s="20" t="s">
        <v>213</v>
      </c>
      <c r="E918" s="20" t="s">
        <v>1070</v>
      </c>
      <c r="F918" s="20" t="s">
        <v>134</v>
      </c>
      <c r="G918" s="397">
        <f>'Пр.4 ведом.21'!G1055</f>
        <v>0</v>
      </c>
      <c r="H918" s="397">
        <f t="shared" si="85"/>
        <v>0</v>
      </c>
      <c r="I918" s="192"/>
    </row>
    <row r="919" spans="1:9" ht="63" x14ac:dyDescent="0.25">
      <c r="A919" s="394" t="s">
        <v>1509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393">
        <f>G920+G924+G928+G932+G944+G940</f>
        <v>700</v>
      </c>
      <c r="H919" s="393">
        <f>H920+H924+H928+H932+H944+H940</f>
        <v>700</v>
      </c>
      <c r="I919" s="192"/>
    </row>
    <row r="920" spans="1:9" ht="31.5" x14ac:dyDescent="0.25">
      <c r="A920" s="394" t="s">
        <v>962</v>
      </c>
      <c r="B920" s="19">
        <v>908</v>
      </c>
      <c r="C920" s="24" t="s">
        <v>234</v>
      </c>
      <c r="D920" s="24" t="s">
        <v>213</v>
      </c>
      <c r="E920" s="24" t="s">
        <v>964</v>
      </c>
      <c r="F920" s="24"/>
      <c r="G920" s="393">
        <f t="shared" ref="G920:H922" si="86">G921</f>
        <v>700</v>
      </c>
      <c r="H920" s="393">
        <f t="shared" si="86"/>
        <v>700</v>
      </c>
      <c r="I920" s="192"/>
    </row>
    <row r="921" spans="1:9" ht="15.75" x14ac:dyDescent="0.25">
      <c r="A921" s="45" t="s">
        <v>963</v>
      </c>
      <c r="B921" s="16">
        <v>908</v>
      </c>
      <c r="C921" s="40" t="s">
        <v>234</v>
      </c>
      <c r="D921" s="40" t="s">
        <v>213</v>
      </c>
      <c r="E921" s="20" t="s">
        <v>965</v>
      </c>
      <c r="F921" s="40"/>
      <c r="G921" s="397">
        <f t="shared" si="86"/>
        <v>700</v>
      </c>
      <c r="H921" s="397">
        <f t="shared" si="86"/>
        <v>700</v>
      </c>
      <c r="I921" s="192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965</v>
      </c>
      <c r="F922" s="40" t="s">
        <v>132</v>
      </c>
      <c r="G922" s="397">
        <f t="shared" si="86"/>
        <v>700</v>
      </c>
      <c r="H922" s="397">
        <f t="shared" si="86"/>
        <v>700</v>
      </c>
      <c r="I922" s="192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965</v>
      </c>
      <c r="F923" s="40" t="s">
        <v>134</v>
      </c>
      <c r="G923" s="397">
        <v>700</v>
      </c>
      <c r="H923" s="397">
        <v>700</v>
      </c>
      <c r="I923" s="192"/>
    </row>
    <row r="924" spans="1:9" ht="31.5" hidden="1" x14ac:dyDescent="0.25">
      <c r="A924" s="34" t="s">
        <v>966</v>
      </c>
      <c r="B924" s="19">
        <v>908</v>
      </c>
      <c r="C924" s="7" t="s">
        <v>234</v>
      </c>
      <c r="D924" s="7" t="s">
        <v>213</v>
      </c>
      <c r="E924" s="24" t="s">
        <v>967</v>
      </c>
      <c r="F924" s="7"/>
      <c r="G924" s="393">
        <f>G925</f>
        <v>0</v>
      </c>
      <c r="H924" s="393">
        <f>H925</f>
        <v>0</v>
      </c>
      <c r="I924" s="192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970</v>
      </c>
      <c r="F925" s="40"/>
      <c r="G925" s="397">
        <f>G926</f>
        <v>0</v>
      </c>
      <c r="H925" s="397">
        <f t="shared" si="85"/>
        <v>0</v>
      </c>
      <c r="I925" s="192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970</v>
      </c>
      <c r="F926" s="40" t="s">
        <v>132</v>
      </c>
      <c r="G926" s="397">
        <f>G927</f>
        <v>0</v>
      </c>
      <c r="H926" s="397">
        <f t="shared" si="85"/>
        <v>0</v>
      </c>
      <c r="I926" s="192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970</v>
      </c>
      <c r="F927" s="40" t="s">
        <v>134</v>
      </c>
      <c r="G927" s="397">
        <v>0</v>
      </c>
      <c r="H927" s="397">
        <f t="shared" si="85"/>
        <v>0</v>
      </c>
      <c r="I927" s="192"/>
    </row>
    <row r="928" spans="1:9" ht="31.5" hidden="1" x14ac:dyDescent="0.25">
      <c r="A928" s="58" t="s">
        <v>968</v>
      </c>
      <c r="B928" s="19">
        <v>908</v>
      </c>
      <c r="C928" s="7" t="s">
        <v>234</v>
      </c>
      <c r="D928" s="7" t="s">
        <v>213</v>
      </c>
      <c r="E928" s="24" t="s">
        <v>969</v>
      </c>
      <c r="F928" s="7"/>
      <c r="G928" s="388">
        <f>G929</f>
        <v>0</v>
      </c>
      <c r="H928" s="388">
        <f>H929</f>
        <v>0</v>
      </c>
      <c r="I928" s="192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971</v>
      </c>
      <c r="F929" s="40"/>
      <c r="G929" s="397">
        <f>'Пр.4 ведом.21'!G1066</f>
        <v>0</v>
      </c>
      <c r="H929" s="397">
        <f t="shared" si="85"/>
        <v>0</v>
      </c>
      <c r="I929" s="192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971</v>
      </c>
      <c r="F930" s="40" t="s">
        <v>132</v>
      </c>
      <c r="G930" s="397">
        <f>'Пр.4 ведом.21'!G1067</f>
        <v>0</v>
      </c>
      <c r="H930" s="397">
        <f t="shared" si="85"/>
        <v>0</v>
      </c>
      <c r="I930" s="192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971</v>
      </c>
      <c r="F931" s="40" t="s">
        <v>134</v>
      </c>
      <c r="G931" s="397">
        <f>'Пр.4 ведом.21'!G1068</f>
        <v>0</v>
      </c>
      <c r="H931" s="397">
        <f t="shared" si="85"/>
        <v>0</v>
      </c>
      <c r="I931" s="192"/>
    </row>
    <row r="932" spans="1:9" ht="31.5" hidden="1" x14ac:dyDescent="0.25">
      <c r="A932" s="58" t="s">
        <v>972</v>
      </c>
      <c r="B932" s="19">
        <v>908</v>
      </c>
      <c r="C932" s="7" t="s">
        <v>234</v>
      </c>
      <c r="D932" s="7" t="s">
        <v>213</v>
      </c>
      <c r="E932" s="24" t="s">
        <v>973</v>
      </c>
      <c r="F932" s="7"/>
      <c r="G932" s="388">
        <f>G933</f>
        <v>0</v>
      </c>
      <c r="H932" s="388">
        <f>H933</f>
        <v>0</v>
      </c>
      <c r="I932" s="192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974</v>
      </c>
      <c r="F933" s="40"/>
      <c r="G933" s="397">
        <f>G934</f>
        <v>0</v>
      </c>
      <c r="H933" s="397">
        <f t="shared" si="85"/>
        <v>0</v>
      </c>
      <c r="I933" s="192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974</v>
      </c>
      <c r="F934" s="40" t="s">
        <v>132</v>
      </c>
      <c r="G934" s="397">
        <f>G935</f>
        <v>0</v>
      </c>
      <c r="H934" s="397">
        <f t="shared" si="85"/>
        <v>0</v>
      </c>
      <c r="I934" s="192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974</v>
      </c>
      <c r="F935" s="40" t="s">
        <v>134</v>
      </c>
      <c r="G935" s="397">
        <v>0</v>
      </c>
      <c r="H935" s="397">
        <f t="shared" si="85"/>
        <v>0</v>
      </c>
      <c r="I935" s="192"/>
    </row>
    <row r="936" spans="1:9" ht="31.5" hidden="1" x14ac:dyDescent="0.25">
      <c r="A936" s="34" t="s">
        <v>1013</v>
      </c>
      <c r="B936" s="19">
        <v>908</v>
      </c>
      <c r="C936" s="7" t="s">
        <v>234</v>
      </c>
      <c r="D936" s="7" t="s">
        <v>213</v>
      </c>
      <c r="E936" s="24" t="s">
        <v>1014</v>
      </c>
      <c r="F936" s="7"/>
      <c r="G936" s="388">
        <f>G937</f>
        <v>0</v>
      </c>
      <c r="H936" s="388">
        <f>H937</f>
        <v>0</v>
      </c>
      <c r="I936" s="192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1017</v>
      </c>
      <c r="F937" s="40"/>
      <c r="G937" s="397">
        <f>G938</f>
        <v>0</v>
      </c>
      <c r="H937" s="397">
        <f t="shared" si="85"/>
        <v>0</v>
      </c>
      <c r="I937" s="192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1017</v>
      </c>
      <c r="F938" s="40" t="s">
        <v>132</v>
      </c>
      <c r="G938" s="397">
        <f>G939</f>
        <v>0</v>
      </c>
      <c r="H938" s="397">
        <f t="shared" si="85"/>
        <v>0</v>
      </c>
      <c r="I938" s="192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1017</v>
      </c>
      <c r="F939" s="40" t="s">
        <v>134</v>
      </c>
      <c r="G939" s="397">
        <v>0</v>
      </c>
      <c r="H939" s="397">
        <f t="shared" si="85"/>
        <v>0</v>
      </c>
      <c r="I939" s="192"/>
    </row>
    <row r="940" spans="1:9" ht="31.5" hidden="1" x14ac:dyDescent="0.25">
      <c r="A940" s="204" t="s">
        <v>1015</v>
      </c>
      <c r="B940" s="19">
        <v>908</v>
      </c>
      <c r="C940" s="7" t="s">
        <v>234</v>
      </c>
      <c r="D940" s="7" t="s">
        <v>213</v>
      </c>
      <c r="E940" s="24" t="s">
        <v>1016</v>
      </c>
      <c r="F940" s="7"/>
      <c r="G940" s="393">
        <f>G941</f>
        <v>0</v>
      </c>
      <c r="H940" s="393">
        <f>H941</f>
        <v>0</v>
      </c>
      <c r="I940" s="192"/>
    </row>
    <row r="941" spans="1:9" ht="31.5" hidden="1" x14ac:dyDescent="0.25">
      <c r="A941" s="172" t="s">
        <v>531</v>
      </c>
      <c r="B941" s="16">
        <v>908</v>
      </c>
      <c r="C941" s="40" t="s">
        <v>234</v>
      </c>
      <c r="D941" s="40" t="s">
        <v>213</v>
      </c>
      <c r="E941" s="20" t="s">
        <v>1018</v>
      </c>
      <c r="F941" s="40"/>
      <c r="G941" s="397">
        <f>'Пр.4 ведом.21'!G1078</f>
        <v>0</v>
      </c>
      <c r="H941" s="397">
        <f t="shared" si="85"/>
        <v>0</v>
      </c>
      <c r="I941" s="192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1018</v>
      </c>
      <c r="F942" s="40" t="s">
        <v>132</v>
      </c>
      <c r="G942" s="397">
        <f>'Пр.4 ведом.21'!G1079</f>
        <v>0</v>
      </c>
      <c r="H942" s="397">
        <f t="shared" si="85"/>
        <v>0</v>
      </c>
      <c r="I942" s="192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1018</v>
      </c>
      <c r="F943" s="40" t="s">
        <v>134</v>
      </c>
      <c r="G943" s="397">
        <f>'Пр.4 ведом.21'!G1080</f>
        <v>0</v>
      </c>
      <c r="H943" s="397">
        <f t="shared" si="85"/>
        <v>0</v>
      </c>
      <c r="I943" s="192"/>
    </row>
    <row r="944" spans="1:9" ht="31.5" hidden="1" x14ac:dyDescent="0.25">
      <c r="A944" s="204" t="s">
        <v>976</v>
      </c>
      <c r="B944" s="19">
        <v>908</v>
      </c>
      <c r="C944" s="7" t="s">
        <v>234</v>
      </c>
      <c r="D944" s="7" t="s">
        <v>213</v>
      </c>
      <c r="E944" s="24" t="s">
        <v>977</v>
      </c>
      <c r="F944" s="7"/>
      <c r="G944" s="393">
        <f>G945</f>
        <v>0</v>
      </c>
      <c r="H944" s="393">
        <f>H945</f>
        <v>0</v>
      </c>
      <c r="I944" s="192"/>
    </row>
    <row r="945" spans="1:9" ht="15.75" hidden="1" x14ac:dyDescent="0.25">
      <c r="A945" s="172" t="s">
        <v>533</v>
      </c>
      <c r="B945" s="16">
        <v>908</v>
      </c>
      <c r="C945" s="40" t="s">
        <v>234</v>
      </c>
      <c r="D945" s="40" t="s">
        <v>213</v>
      </c>
      <c r="E945" s="20" t="s">
        <v>975</v>
      </c>
      <c r="F945" s="40"/>
      <c r="G945" s="397">
        <f>G946</f>
        <v>0</v>
      </c>
      <c r="H945" s="397">
        <f t="shared" si="85"/>
        <v>0</v>
      </c>
      <c r="I945" s="192"/>
    </row>
    <row r="946" spans="1:9" ht="31.5" hidden="1" x14ac:dyDescent="0.25">
      <c r="A946" s="396" t="s">
        <v>131</v>
      </c>
      <c r="B946" s="16">
        <v>908</v>
      </c>
      <c r="C946" s="40" t="s">
        <v>234</v>
      </c>
      <c r="D946" s="40" t="s">
        <v>213</v>
      </c>
      <c r="E946" s="20" t="s">
        <v>975</v>
      </c>
      <c r="F946" s="40" t="s">
        <v>132</v>
      </c>
      <c r="G946" s="397">
        <f>G947</f>
        <v>0</v>
      </c>
      <c r="H946" s="397">
        <f t="shared" si="85"/>
        <v>0</v>
      </c>
      <c r="I946" s="192"/>
    </row>
    <row r="947" spans="1:9" ht="31.5" hidden="1" x14ac:dyDescent="0.25">
      <c r="A947" s="396" t="s">
        <v>133</v>
      </c>
      <c r="B947" s="16">
        <v>908</v>
      </c>
      <c r="C947" s="40" t="s">
        <v>234</v>
      </c>
      <c r="D947" s="40" t="s">
        <v>213</v>
      </c>
      <c r="E947" s="20" t="s">
        <v>975</v>
      </c>
      <c r="F947" s="40" t="s">
        <v>134</v>
      </c>
      <c r="G947" s="397">
        <v>0</v>
      </c>
      <c r="H947" s="397">
        <f t="shared" si="85"/>
        <v>0</v>
      </c>
      <c r="I947" s="192"/>
    </row>
    <row r="948" spans="1:9" s="191" customFormat="1" ht="47.25" x14ac:dyDescent="0.25">
      <c r="A948" s="394" t="s">
        <v>1511</v>
      </c>
      <c r="B948" s="19">
        <v>908</v>
      </c>
      <c r="C948" s="7" t="s">
        <v>234</v>
      </c>
      <c r="D948" s="7" t="s">
        <v>213</v>
      </c>
      <c r="E948" s="24" t="s">
        <v>1139</v>
      </c>
      <c r="F948" s="7"/>
      <c r="G948" s="393">
        <f t="shared" ref="G948:H951" si="87">G949</f>
        <v>204</v>
      </c>
      <c r="H948" s="393">
        <f t="shared" si="87"/>
        <v>215</v>
      </c>
      <c r="I948" s="192"/>
    </row>
    <row r="949" spans="1:9" s="191" customFormat="1" ht="31.5" x14ac:dyDescent="0.25">
      <c r="A949" s="394" t="s">
        <v>1515</v>
      </c>
      <c r="B949" s="19">
        <v>908</v>
      </c>
      <c r="C949" s="7" t="s">
        <v>234</v>
      </c>
      <c r="D949" s="7" t="s">
        <v>213</v>
      </c>
      <c r="E949" s="24" t="s">
        <v>1141</v>
      </c>
      <c r="F949" s="7"/>
      <c r="G949" s="393">
        <f t="shared" si="87"/>
        <v>204</v>
      </c>
      <c r="H949" s="393">
        <f t="shared" si="87"/>
        <v>215</v>
      </c>
      <c r="I949" s="192"/>
    </row>
    <row r="950" spans="1:9" s="191" customFormat="1" ht="15.75" x14ac:dyDescent="0.25">
      <c r="A950" s="396" t="s">
        <v>537</v>
      </c>
      <c r="B950" s="16">
        <v>908</v>
      </c>
      <c r="C950" s="40" t="s">
        <v>234</v>
      </c>
      <c r="D950" s="40" t="s">
        <v>213</v>
      </c>
      <c r="E950" s="20" t="s">
        <v>1142</v>
      </c>
      <c r="F950" s="40"/>
      <c r="G950" s="397">
        <f t="shared" si="87"/>
        <v>204</v>
      </c>
      <c r="H950" s="397">
        <f t="shared" si="87"/>
        <v>215</v>
      </c>
      <c r="I950" s="192"/>
    </row>
    <row r="951" spans="1:9" s="191" customFormat="1" ht="31.5" x14ac:dyDescent="0.25">
      <c r="A951" s="396" t="s">
        <v>131</v>
      </c>
      <c r="B951" s="16">
        <v>908</v>
      </c>
      <c r="C951" s="40" t="s">
        <v>234</v>
      </c>
      <c r="D951" s="40" t="s">
        <v>213</v>
      </c>
      <c r="E951" s="20" t="s">
        <v>1142</v>
      </c>
      <c r="F951" s="40" t="s">
        <v>132</v>
      </c>
      <c r="G951" s="397">
        <f t="shared" si="87"/>
        <v>204</v>
      </c>
      <c r="H951" s="397">
        <f t="shared" si="87"/>
        <v>215</v>
      </c>
      <c r="I951" s="192"/>
    </row>
    <row r="952" spans="1:9" s="191" customFormat="1" ht="31.7" customHeight="1" x14ac:dyDescent="0.25">
      <c r="A952" s="396" t="s">
        <v>133</v>
      </c>
      <c r="B952" s="16">
        <v>908</v>
      </c>
      <c r="C952" s="40" t="s">
        <v>234</v>
      </c>
      <c r="D952" s="40" t="s">
        <v>213</v>
      </c>
      <c r="E952" s="20" t="s">
        <v>1142</v>
      </c>
      <c r="F952" s="40" t="s">
        <v>134</v>
      </c>
      <c r="G952" s="397">
        <v>204</v>
      </c>
      <c r="H952" s="397">
        <v>215</v>
      </c>
      <c r="I952" s="192"/>
    </row>
    <row r="953" spans="1:9" ht="15.75" x14ac:dyDescent="0.25">
      <c r="A953" s="394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393">
        <f>G954+G959+G998</f>
        <v>3810</v>
      </c>
      <c r="H953" s="393">
        <f>H954+H959+H998</f>
        <v>4063</v>
      </c>
      <c r="I953" s="192"/>
    </row>
    <row r="954" spans="1:9" ht="15.75" x14ac:dyDescent="0.25">
      <c r="A954" s="394" t="s">
        <v>141</v>
      </c>
      <c r="B954" s="19">
        <v>908</v>
      </c>
      <c r="C954" s="24" t="s">
        <v>234</v>
      </c>
      <c r="D954" s="24" t="s">
        <v>215</v>
      </c>
      <c r="E954" s="24" t="s">
        <v>865</v>
      </c>
      <c r="F954" s="24"/>
      <c r="G954" s="393">
        <f t="shared" ref="G954:H957" si="88">G955</f>
        <v>1390</v>
      </c>
      <c r="H954" s="393">
        <f t="shared" si="88"/>
        <v>1390</v>
      </c>
      <c r="I954" s="192"/>
    </row>
    <row r="955" spans="1:9" ht="31.5" x14ac:dyDescent="0.25">
      <c r="A955" s="394" t="s">
        <v>869</v>
      </c>
      <c r="B955" s="19">
        <v>908</v>
      </c>
      <c r="C955" s="24" t="s">
        <v>234</v>
      </c>
      <c r="D955" s="24" t="s">
        <v>215</v>
      </c>
      <c r="E955" s="24" t="s">
        <v>864</v>
      </c>
      <c r="F955" s="24"/>
      <c r="G955" s="393">
        <f t="shared" si="88"/>
        <v>1390</v>
      </c>
      <c r="H955" s="393">
        <f t="shared" si="88"/>
        <v>1390</v>
      </c>
      <c r="I955" s="192"/>
    </row>
    <row r="956" spans="1:9" ht="15.75" x14ac:dyDescent="0.25">
      <c r="A956" s="396" t="s">
        <v>564</v>
      </c>
      <c r="B956" s="16">
        <v>908</v>
      </c>
      <c r="C956" s="20" t="s">
        <v>234</v>
      </c>
      <c r="D956" s="20" t="s">
        <v>215</v>
      </c>
      <c r="E956" s="20" t="s">
        <v>1075</v>
      </c>
      <c r="F956" s="20"/>
      <c r="G956" s="397">
        <f t="shared" si="88"/>
        <v>1390</v>
      </c>
      <c r="H956" s="397">
        <f t="shared" si="88"/>
        <v>1390</v>
      </c>
      <c r="I956" s="192"/>
    </row>
    <row r="957" spans="1:9" ht="31.5" x14ac:dyDescent="0.25">
      <c r="A957" s="396" t="s">
        <v>131</v>
      </c>
      <c r="B957" s="16">
        <v>908</v>
      </c>
      <c r="C957" s="20" t="s">
        <v>234</v>
      </c>
      <c r="D957" s="20" t="s">
        <v>215</v>
      </c>
      <c r="E957" s="20" t="s">
        <v>1075</v>
      </c>
      <c r="F957" s="20" t="s">
        <v>132</v>
      </c>
      <c r="G957" s="397">
        <f t="shared" si="88"/>
        <v>1390</v>
      </c>
      <c r="H957" s="397">
        <f t="shared" si="88"/>
        <v>1390</v>
      </c>
      <c r="I957" s="192"/>
    </row>
    <row r="958" spans="1:9" ht="33.4" customHeight="1" x14ac:dyDescent="0.25">
      <c r="A958" s="396" t="s">
        <v>133</v>
      </c>
      <c r="B958" s="16">
        <v>908</v>
      </c>
      <c r="C958" s="20" t="s">
        <v>234</v>
      </c>
      <c r="D958" s="20" t="s">
        <v>215</v>
      </c>
      <c r="E958" s="20" t="s">
        <v>1075</v>
      </c>
      <c r="F958" s="20" t="s">
        <v>134</v>
      </c>
      <c r="G958" s="397">
        <f>390+1000</f>
        <v>1390</v>
      </c>
      <c r="H958" s="397">
        <f t="shared" si="85"/>
        <v>1390</v>
      </c>
      <c r="I958" s="192"/>
    </row>
    <row r="959" spans="1:9" ht="31.5" x14ac:dyDescent="0.25">
      <c r="A959" s="394" t="s">
        <v>1361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393">
        <f>G960+G964+G991</f>
        <v>1920</v>
      </c>
      <c r="H959" s="393">
        <f>H960+H964+H991</f>
        <v>2173</v>
      </c>
      <c r="I959" s="192"/>
    </row>
    <row r="960" spans="1:9" s="191" customFormat="1" ht="47.25" hidden="1" x14ac:dyDescent="0.25">
      <c r="A960" s="394" t="s">
        <v>1428</v>
      </c>
      <c r="B960" s="19">
        <v>908</v>
      </c>
      <c r="C960" s="24" t="s">
        <v>234</v>
      </c>
      <c r="D960" s="24" t="s">
        <v>215</v>
      </c>
      <c r="E960" s="24" t="s">
        <v>1271</v>
      </c>
      <c r="F960" s="24"/>
      <c r="G960" s="393">
        <f t="shared" ref="G960:H962" si="89">G961</f>
        <v>0</v>
      </c>
      <c r="H960" s="393">
        <f t="shared" si="89"/>
        <v>0</v>
      </c>
      <c r="I960" s="192"/>
    </row>
    <row r="961" spans="1:9" s="191" customFormat="1" ht="31.5" hidden="1" x14ac:dyDescent="0.25">
      <c r="A961" s="289" t="s">
        <v>1429</v>
      </c>
      <c r="B961" s="16">
        <v>908</v>
      </c>
      <c r="C961" s="20" t="s">
        <v>234</v>
      </c>
      <c r="D961" s="20" t="s">
        <v>215</v>
      </c>
      <c r="E961" s="20" t="s">
        <v>1418</v>
      </c>
      <c r="F961" s="20"/>
      <c r="G961" s="397">
        <f t="shared" si="89"/>
        <v>0</v>
      </c>
      <c r="H961" s="397">
        <f t="shared" si="89"/>
        <v>0</v>
      </c>
      <c r="I961" s="192"/>
    </row>
    <row r="962" spans="1:9" s="191" customFormat="1" ht="31.5" hidden="1" x14ac:dyDescent="0.25">
      <c r="A962" s="396" t="s">
        <v>131</v>
      </c>
      <c r="B962" s="16">
        <v>908</v>
      </c>
      <c r="C962" s="20" t="s">
        <v>234</v>
      </c>
      <c r="D962" s="20" t="s">
        <v>215</v>
      </c>
      <c r="E962" s="20" t="s">
        <v>1418</v>
      </c>
      <c r="F962" s="20" t="s">
        <v>132</v>
      </c>
      <c r="G962" s="397">
        <f t="shared" si="89"/>
        <v>0</v>
      </c>
      <c r="H962" s="397">
        <f t="shared" si="89"/>
        <v>0</v>
      </c>
      <c r="I962" s="192"/>
    </row>
    <row r="963" spans="1:9" s="191" customFormat="1" ht="31.5" hidden="1" x14ac:dyDescent="0.25">
      <c r="A963" s="396" t="s">
        <v>133</v>
      </c>
      <c r="B963" s="16">
        <v>908</v>
      </c>
      <c r="C963" s="20" t="s">
        <v>234</v>
      </c>
      <c r="D963" s="20" t="s">
        <v>215</v>
      </c>
      <c r="E963" s="20" t="s">
        <v>1418</v>
      </c>
      <c r="F963" s="20" t="s">
        <v>134</v>
      </c>
      <c r="G963" s="397">
        <v>0</v>
      </c>
      <c r="H963" s="397">
        <v>0</v>
      </c>
      <c r="I963" s="192"/>
    </row>
    <row r="964" spans="1:9" s="191" customFormat="1" ht="31.5" x14ac:dyDescent="0.25">
      <c r="A964" s="394" t="s">
        <v>1443</v>
      </c>
      <c r="B964" s="19">
        <v>908</v>
      </c>
      <c r="C964" s="24" t="s">
        <v>234</v>
      </c>
      <c r="D964" s="24" t="s">
        <v>215</v>
      </c>
      <c r="E964" s="24" t="s">
        <v>1272</v>
      </c>
      <c r="F964" s="24"/>
      <c r="G964" s="393">
        <f>G965+G968+G974+G977+G980+G985+G988</f>
        <v>1920</v>
      </c>
      <c r="H964" s="393">
        <f>H965+H968+H974+H977+H980+H985+H988</f>
        <v>2173</v>
      </c>
      <c r="I964" s="192"/>
    </row>
    <row r="965" spans="1:9" ht="15.75" x14ac:dyDescent="0.25">
      <c r="A965" s="396" t="s">
        <v>546</v>
      </c>
      <c r="B965" s="16">
        <v>908</v>
      </c>
      <c r="C965" s="20" t="s">
        <v>234</v>
      </c>
      <c r="D965" s="20" t="s">
        <v>215</v>
      </c>
      <c r="E965" s="20" t="s">
        <v>1427</v>
      </c>
      <c r="F965" s="20"/>
      <c r="G965" s="397">
        <f>G966</f>
        <v>365</v>
      </c>
      <c r="H965" s="397">
        <f>H966</f>
        <v>365</v>
      </c>
      <c r="I965" s="192"/>
    </row>
    <row r="966" spans="1:9" ht="31.5" x14ac:dyDescent="0.25">
      <c r="A966" s="396" t="s">
        <v>131</v>
      </c>
      <c r="B966" s="16">
        <v>908</v>
      </c>
      <c r="C966" s="20" t="s">
        <v>234</v>
      </c>
      <c r="D966" s="20" t="s">
        <v>215</v>
      </c>
      <c r="E966" s="20" t="s">
        <v>1427</v>
      </c>
      <c r="F966" s="20" t="s">
        <v>132</v>
      </c>
      <c r="G966" s="397">
        <f>G967</f>
        <v>365</v>
      </c>
      <c r="H966" s="397">
        <f>H967</f>
        <v>365</v>
      </c>
      <c r="I966" s="192"/>
    </row>
    <row r="967" spans="1:9" ht="31.5" x14ac:dyDescent="0.25">
      <c r="A967" s="396" t="s">
        <v>133</v>
      </c>
      <c r="B967" s="16">
        <v>908</v>
      </c>
      <c r="C967" s="20" t="s">
        <v>234</v>
      </c>
      <c r="D967" s="20" t="s">
        <v>215</v>
      </c>
      <c r="E967" s="20" t="s">
        <v>1427</v>
      </c>
      <c r="F967" s="20" t="s">
        <v>134</v>
      </c>
      <c r="G967" s="397">
        <v>365</v>
      </c>
      <c r="H967" s="397">
        <v>365</v>
      </c>
      <c r="I967" s="192"/>
    </row>
    <row r="968" spans="1:9" ht="15.75" x14ac:dyDescent="0.25">
      <c r="A968" s="396" t="s">
        <v>1087</v>
      </c>
      <c r="B968" s="16">
        <v>908</v>
      </c>
      <c r="C968" s="20" t="s">
        <v>234</v>
      </c>
      <c r="D968" s="20" t="s">
        <v>215</v>
      </c>
      <c r="E968" s="20" t="s">
        <v>1417</v>
      </c>
      <c r="F968" s="20"/>
      <c r="G968" s="397">
        <f>G969</f>
        <v>1080</v>
      </c>
      <c r="H968" s="397">
        <f>H969</f>
        <v>1188</v>
      </c>
      <c r="I968" s="192"/>
    </row>
    <row r="969" spans="1:9" ht="31.5" x14ac:dyDescent="0.25">
      <c r="A969" s="396" t="s">
        <v>131</v>
      </c>
      <c r="B969" s="16">
        <v>908</v>
      </c>
      <c r="C969" s="20" t="s">
        <v>234</v>
      </c>
      <c r="D969" s="20" t="s">
        <v>215</v>
      </c>
      <c r="E969" s="20" t="s">
        <v>1417</v>
      </c>
      <c r="F969" s="20" t="s">
        <v>132</v>
      </c>
      <c r="G969" s="397">
        <f>G970</f>
        <v>1080</v>
      </c>
      <c r="H969" s="397">
        <f>H970</f>
        <v>1188</v>
      </c>
      <c r="I969" s="192"/>
    </row>
    <row r="970" spans="1:9" ht="31.5" x14ac:dyDescent="0.25">
      <c r="A970" s="396" t="s">
        <v>133</v>
      </c>
      <c r="B970" s="16">
        <v>908</v>
      </c>
      <c r="C970" s="20" t="s">
        <v>234</v>
      </c>
      <c r="D970" s="20" t="s">
        <v>215</v>
      </c>
      <c r="E970" s="20" t="s">
        <v>1417</v>
      </c>
      <c r="F970" s="20" t="s">
        <v>134</v>
      </c>
      <c r="G970" s="397">
        <v>1080</v>
      </c>
      <c r="H970" s="397">
        <v>1188</v>
      </c>
      <c r="I970" s="192"/>
    </row>
    <row r="971" spans="1:9" ht="15.75" hidden="1" x14ac:dyDescent="0.25">
      <c r="A971" s="396" t="s">
        <v>135</v>
      </c>
      <c r="B971" s="16">
        <v>908</v>
      </c>
      <c r="C971" s="20" t="s">
        <v>234</v>
      </c>
      <c r="D971" s="20" t="s">
        <v>215</v>
      </c>
      <c r="E971" s="20" t="s">
        <v>1417</v>
      </c>
      <c r="F971" s="20" t="s">
        <v>145</v>
      </c>
      <c r="G971" s="397">
        <f>'Пр.4 ведом.21'!G1112</f>
        <v>0</v>
      </c>
      <c r="H971" s="397">
        <f t="shared" si="85"/>
        <v>0</v>
      </c>
      <c r="I971" s="192"/>
    </row>
    <row r="972" spans="1:9" ht="47.25" hidden="1" x14ac:dyDescent="0.25">
      <c r="A972" s="396" t="s">
        <v>835</v>
      </c>
      <c r="B972" s="16">
        <v>908</v>
      </c>
      <c r="C972" s="20" t="s">
        <v>234</v>
      </c>
      <c r="D972" s="20" t="s">
        <v>215</v>
      </c>
      <c r="E972" s="20" t="s">
        <v>1417</v>
      </c>
      <c r="F972" s="20" t="s">
        <v>147</v>
      </c>
      <c r="G972" s="397">
        <f>'Пр.4 ведом.21'!G1113</f>
        <v>0</v>
      </c>
      <c r="H972" s="397">
        <f t="shared" si="85"/>
        <v>0</v>
      </c>
      <c r="I972" s="192"/>
    </row>
    <row r="973" spans="1:9" ht="15.75" hidden="1" x14ac:dyDescent="0.25">
      <c r="A973" s="396" t="s">
        <v>704</v>
      </c>
      <c r="B973" s="16">
        <v>908</v>
      </c>
      <c r="C973" s="20" t="s">
        <v>234</v>
      </c>
      <c r="D973" s="20" t="s">
        <v>215</v>
      </c>
      <c r="E973" s="20" t="s">
        <v>1417</v>
      </c>
      <c r="F973" s="20" t="s">
        <v>138</v>
      </c>
      <c r="G973" s="397">
        <f>'Пр.4 ведом.21'!G1114</f>
        <v>0</v>
      </c>
      <c r="H973" s="397">
        <f t="shared" si="85"/>
        <v>0</v>
      </c>
      <c r="I973" s="192"/>
    </row>
    <row r="974" spans="1:9" ht="15.75" hidden="1" x14ac:dyDescent="0.25">
      <c r="A974" s="396" t="s">
        <v>550</v>
      </c>
      <c r="B974" s="16">
        <v>908</v>
      </c>
      <c r="C974" s="20" t="s">
        <v>234</v>
      </c>
      <c r="D974" s="20" t="s">
        <v>215</v>
      </c>
      <c r="E974" s="20" t="s">
        <v>1296</v>
      </c>
      <c r="F974" s="20"/>
      <c r="G974" s="397">
        <f>G975</f>
        <v>0</v>
      </c>
      <c r="H974" s="397">
        <f>H975</f>
        <v>0</v>
      </c>
      <c r="I974" s="192"/>
    </row>
    <row r="975" spans="1:9" ht="31.5" hidden="1" x14ac:dyDescent="0.25">
      <c r="A975" s="396" t="s">
        <v>131</v>
      </c>
      <c r="B975" s="16">
        <v>908</v>
      </c>
      <c r="C975" s="20" t="s">
        <v>234</v>
      </c>
      <c r="D975" s="20" t="s">
        <v>215</v>
      </c>
      <c r="E975" s="20" t="s">
        <v>1296</v>
      </c>
      <c r="F975" s="20" t="s">
        <v>132</v>
      </c>
      <c r="G975" s="397">
        <f>G976</f>
        <v>0</v>
      </c>
      <c r="H975" s="397">
        <f>H976</f>
        <v>0</v>
      </c>
      <c r="I975" s="192"/>
    </row>
    <row r="976" spans="1:9" ht="31.5" hidden="1" x14ac:dyDescent="0.25">
      <c r="A976" s="396" t="s">
        <v>133</v>
      </c>
      <c r="B976" s="16">
        <v>908</v>
      </c>
      <c r="C976" s="20" t="s">
        <v>234</v>
      </c>
      <c r="D976" s="20" t="s">
        <v>215</v>
      </c>
      <c r="E976" s="20" t="s">
        <v>1296</v>
      </c>
      <c r="F976" s="20" t="s">
        <v>134</v>
      </c>
      <c r="G976" s="397">
        <v>0</v>
      </c>
      <c r="H976" s="397">
        <v>0</v>
      </c>
      <c r="I976" s="192"/>
    </row>
    <row r="977" spans="1:9" ht="15.75" x14ac:dyDescent="0.25">
      <c r="A977" s="396" t="s">
        <v>555</v>
      </c>
      <c r="B977" s="16">
        <v>908</v>
      </c>
      <c r="C977" s="20" t="s">
        <v>234</v>
      </c>
      <c r="D977" s="20" t="s">
        <v>215</v>
      </c>
      <c r="E977" s="20" t="s">
        <v>1273</v>
      </c>
      <c r="F977" s="20"/>
      <c r="G977" s="397">
        <f>G978</f>
        <v>50</v>
      </c>
      <c r="H977" s="397">
        <f>H978</f>
        <v>55</v>
      </c>
      <c r="I977" s="192"/>
    </row>
    <row r="978" spans="1:9" ht="31.5" x14ac:dyDescent="0.25">
      <c r="A978" s="396" t="s">
        <v>131</v>
      </c>
      <c r="B978" s="16">
        <v>908</v>
      </c>
      <c r="C978" s="20" t="s">
        <v>234</v>
      </c>
      <c r="D978" s="20" t="s">
        <v>215</v>
      </c>
      <c r="E978" s="20" t="s">
        <v>1273</v>
      </c>
      <c r="F978" s="20" t="s">
        <v>132</v>
      </c>
      <c r="G978" s="397">
        <f>G979</f>
        <v>50</v>
      </c>
      <c r="H978" s="397">
        <f>H979</f>
        <v>55</v>
      </c>
      <c r="I978" s="192"/>
    </row>
    <row r="979" spans="1:9" ht="31.5" x14ac:dyDescent="0.25">
      <c r="A979" s="396" t="s">
        <v>133</v>
      </c>
      <c r="B979" s="16">
        <v>908</v>
      </c>
      <c r="C979" s="20" t="s">
        <v>234</v>
      </c>
      <c r="D979" s="20" t="s">
        <v>215</v>
      </c>
      <c r="E979" s="20" t="s">
        <v>1273</v>
      </c>
      <c r="F979" s="20" t="s">
        <v>134</v>
      </c>
      <c r="G979" s="397">
        <v>50</v>
      </c>
      <c r="H979" s="397">
        <v>55</v>
      </c>
      <c r="I979" s="192"/>
    </row>
    <row r="980" spans="1:9" ht="31.5" x14ac:dyDescent="0.25">
      <c r="A980" s="287" t="s">
        <v>1430</v>
      </c>
      <c r="B980" s="16">
        <v>908</v>
      </c>
      <c r="C980" s="20" t="s">
        <v>234</v>
      </c>
      <c r="D980" s="20" t="s">
        <v>215</v>
      </c>
      <c r="E980" s="20" t="s">
        <v>1274</v>
      </c>
      <c r="F980" s="20"/>
      <c r="G980" s="397">
        <f>G981+G983</f>
        <v>375</v>
      </c>
      <c r="H980" s="397">
        <f>H981+H983</f>
        <v>375</v>
      </c>
      <c r="I980" s="192"/>
    </row>
    <row r="981" spans="1:9" ht="31.5" x14ac:dyDescent="0.25">
      <c r="A981" s="396" t="s">
        <v>131</v>
      </c>
      <c r="B981" s="16">
        <v>908</v>
      </c>
      <c r="C981" s="20" t="s">
        <v>234</v>
      </c>
      <c r="D981" s="20" t="s">
        <v>215</v>
      </c>
      <c r="E981" s="20" t="s">
        <v>1274</v>
      </c>
      <c r="F981" s="20" t="s">
        <v>132</v>
      </c>
      <c r="G981" s="397">
        <f>G982</f>
        <v>300</v>
      </c>
      <c r="H981" s="397">
        <f>H982</f>
        <v>300</v>
      </c>
      <c r="I981" s="192"/>
    </row>
    <row r="982" spans="1:9" ht="31.5" x14ac:dyDescent="0.25">
      <c r="A982" s="396" t="s">
        <v>133</v>
      </c>
      <c r="B982" s="16">
        <v>908</v>
      </c>
      <c r="C982" s="20" t="s">
        <v>234</v>
      </c>
      <c r="D982" s="20" t="s">
        <v>215</v>
      </c>
      <c r="E982" s="20" t="s">
        <v>1274</v>
      </c>
      <c r="F982" s="20" t="s">
        <v>134</v>
      </c>
      <c r="G982" s="397">
        <f>300</f>
        <v>300</v>
      </c>
      <c r="H982" s="397">
        <v>300</v>
      </c>
      <c r="I982" s="192"/>
    </row>
    <row r="983" spans="1:9" ht="15.75" x14ac:dyDescent="0.25">
      <c r="A983" s="396" t="s">
        <v>135</v>
      </c>
      <c r="B983" s="16">
        <v>908</v>
      </c>
      <c r="C983" s="20" t="s">
        <v>234</v>
      </c>
      <c r="D983" s="20" t="s">
        <v>215</v>
      </c>
      <c r="E983" s="20" t="s">
        <v>1274</v>
      </c>
      <c r="F983" s="20" t="s">
        <v>145</v>
      </c>
      <c r="G983" s="397">
        <f>G984</f>
        <v>75</v>
      </c>
      <c r="H983" s="397">
        <f>H984</f>
        <v>75</v>
      </c>
      <c r="I983" s="192"/>
    </row>
    <row r="984" spans="1:9" ht="15.75" x14ac:dyDescent="0.25">
      <c r="A984" s="396" t="s">
        <v>704</v>
      </c>
      <c r="B984" s="16">
        <v>908</v>
      </c>
      <c r="C984" s="20" t="s">
        <v>234</v>
      </c>
      <c r="D984" s="20" t="s">
        <v>215</v>
      </c>
      <c r="E984" s="20" t="s">
        <v>1274</v>
      </c>
      <c r="F984" s="20" t="s">
        <v>138</v>
      </c>
      <c r="G984" s="397">
        <f>75</f>
        <v>75</v>
      </c>
      <c r="H984" s="397">
        <f t="shared" ref="H984:H1032" si="90">G984</f>
        <v>75</v>
      </c>
      <c r="I984" s="192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1275</v>
      </c>
      <c r="F985" s="20"/>
      <c r="G985" s="397">
        <f>'Пр.4 ведом.21'!G1126</f>
        <v>0</v>
      </c>
      <c r="H985" s="397">
        <f>H986</f>
        <v>130</v>
      </c>
      <c r="I985" s="192"/>
    </row>
    <row r="986" spans="1:9" ht="31.5" hidden="1" x14ac:dyDescent="0.25">
      <c r="A986" s="396" t="s">
        <v>131</v>
      </c>
      <c r="B986" s="16">
        <v>908</v>
      </c>
      <c r="C986" s="20" t="s">
        <v>234</v>
      </c>
      <c r="D986" s="20" t="s">
        <v>215</v>
      </c>
      <c r="E986" s="20" t="s">
        <v>1275</v>
      </c>
      <c r="F986" s="20" t="s">
        <v>132</v>
      </c>
      <c r="G986" s="397">
        <f>'Пр.4 ведом.21'!G1127</f>
        <v>0</v>
      </c>
      <c r="H986" s="397">
        <f>H987</f>
        <v>130</v>
      </c>
      <c r="I986" s="192"/>
    </row>
    <row r="987" spans="1:9" ht="31.5" hidden="1" x14ac:dyDescent="0.25">
      <c r="A987" s="396" t="s">
        <v>133</v>
      </c>
      <c r="B987" s="16">
        <v>908</v>
      </c>
      <c r="C987" s="20" t="s">
        <v>234</v>
      </c>
      <c r="D987" s="20" t="s">
        <v>215</v>
      </c>
      <c r="E987" s="20" t="s">
        <v>1275</v>
      </c>
      <c r="F987" s="20" t="s">
        <v>134</v>
      </c>
      <c r="G987" s="397">
        <f>0</f>
        <v>0</v>
      </c>
      <c r="H987" s="397">
        <v>130</v>
      </c>
      <c r="I987" s="192"/>
    </row>
    <row r="988" spans="1:9" s="191" customFormat="1" ht="31.5" x14ac:dyDescent="0.25">
      <c r="A988" s="213" t="s">
        <v>1089</v>
      </c>
      <c r="B988" s="16">
        <v>908</v>
      </c>
      <c r="C988" s="20" t="s">
        <v>234</v>
      </c>
      <c r="D988" s="20" t="s">
        <v>215</v>
      </c>
      <c r="E988" s="20" t="s">
        <v>1276</v>
      </c>
      <c r="F988" s="20"/>
      <c r="G988" s="397">
        <f>G989</f>
        <v>50</v>
      </c>
      <c r="H988" s="397">
        <f>H989</f>
        <v>60</v>
      </c>
      <c r="I988" s="192"/>
    </row>
    <row r="989" spans="1:9" s="191" customFormat="1" ht="31.5" x14ac:dyDescent="0.25">
      <c r="A989" s="396" t="s">
        <v>131</v>
      </c>
      <c r="B989" s="16">
        <v>908</v>
      </c>
      <c r="C989" s="20" t="s">
        <v>234</v>
      </c>
      <c r="D989" s="20" t="s">
        <v>215</v>
      </c>
      <c r="E989" s="20" t="s">
        <v>1276</v>
      </c>
      <c r="F989" s="20" t="s">
        <v>132</v>
      </c>
      <c r="G989" s="397">
        <f>G990</f>
        <v>50</v>
      </c>
      <c r="H989" s="397">
        <f>H990</f>
        <v>60</v>
      </c>
      <c r="I989" s="192"/>
    </row>
    <row r="990" spans="1:9" s="191" customFormat="1" ht="40.15" customHeight="1" x14ac:dyDescent="0.25">
      <c r="A990" s="396" t="s">
        <v>133</v>
      </c>
      <c r="B990" s="16">
        <v>908</v>
      </c>
      <c r="C990" s="20" t="s">
        <v>234</v>
      </c>
      <c r="D990" s="20" t="s">
        <v>215</v>
      </c>
      <c r="E990" s="20" t="s">
        <v>1276</v>
      </c>
      <c r="F990" s="20" t="s">
        <v>134</v>
      </c>
      <c r="G990" s="397">
        <v>50</v>
      </c>
      <c r="H990" s="397">
        <v>60</v>
      </c>
      <c r="I990" s="192"/>
    </row>
    <row r="991" spans="1:9" ht="31.5" hidden="1" x14ac:dyDescent="0.25">
      <c r="A991" s="394" t="s">
        <v>890</v>
      </c>
      <c r="B991" s="19">
        <v>908</v>
      </c>
      <c r="C991" s="24" t="s">
        <v>234</v>
      </c>
      <c r="D991" s="24" t="s">
        <v>215</v>
      </c>
      <c r="E991" s="24" t="s">
        <v>1294</v>
      </c>
      <c r="F991" s="24"/>
      <c r="G991" s="393">
        <f>G992+G995</f>
        <v>0</v>
      </c>
      <c r="H991" s="393">
        <f>H992+H995</f>
        <v>0</v>
      </c>
      <c r="I991" s="192"/>
    </row>
    <row r="992" spans="1:9" ht="31.5" hidden="1" x14ac:dyDescent="0.25">
      <c r="A992" s="396" t="s">
        <v>690</v>
      </c>
      <c r="B992" s="16">
        <v>908</v>
      </c>
      <c r="C992" s="20" t="s">
        <v>234</v>
      </c>
      <c r="D992" s="20" t="s">
        <v>215</v>
      </c>
      <c r="E992" s="20" t="s">
        <v>1325</v>
      </c>
      <c r="F992" s="20"/>
      <c r="G992" s="397">
        <f>'Пр.4 ведом.21'!G1133</f>
        <v>0</v>
      </c>
      <c r="H992" s="397">
        <f t="shared" si="90"/>
        <v>0</v>
      </c>
      <c r="I992" s="192"/>
    </row>
    <row r="993" spans="1:9" ht="31.5" hidden="1" x14ac:dyDescent="0.25">
      <c r="A993" s="396" t="s">
        <v>131</v>
      </c>
      <c r="B993" s="16">
        <v>908</v>
      </c>
      <c r="C993" s="20" t="s">
        <v>234</v>
      </c>
      <c r="D993" s="20" t="s">
        <v>215</v>
      </c>
      <c r="E993" s="20" t="s">
        <v>1325</v>
      </c>
      <c r="F993" s="20" t="s">
        <v>132</v>
      </c>
      <c r="G993" s="397">
        <f>'Пр.4 ведом.21'!G1134</f>
        <v>0</v>
      </c>
      <c r="H993" s="397">
        <f t="shared" si="90"/>
        <v>0</v>
      </c>
      <c r="I993" s="192"/>
    </row>
    <row r="994" spans="1:9" ht="31.5" hidden="1" x14ac:dyDescent="0.25">
      <c r="A994" s="396" t="s">
        <v>133</v>
      </c>
      <c r="B994" s="16">
        <v>908</v>
      </c>
      <c r="C994" s="20" t="s">
        <v>234</v>
      </c>
      <c r="D994" s="20" t="s">
        <v>215</v>
      </c>
      <c r="E994" s="20" t="s">
        <v>1325</v>
      </c>
      <c r="F994" s="20" t="s">
        <v>134</v>
      </c>
      <c r="G994" s="397">
        <f>'Пр.4 ведом.21'!G1135</f>
        <v>0</v>
      </c>
      <c r="H994" s="397">
        <f t="shared" si="90"/>
        <v>0</v>
      </c>
      <c r="I994" s="192"/>
    </row>
    <row r="995" spans="1:9" ht="63" hidden="1" x14ac:dyDescent="0.25">
      <c r="A995" s="396" t="s">
        <v>1071</v>
      </c>
      <c r="B995" s="16">
        <v>908</v>
      </c>
      <c r="C995" s="20" t="s">
        <v>234</v>
      </c>
      <c r="D995" s="20" t="s">
        <v>215</v>
      </c>
      <c r="E995" s="20" t="s">
        <v>1293</v>
      </c>
      <c r="F995" s="20"/>
      <c r="G995" s="397">
        <f>G996</f>
        <v>0</v>
      </c>
      <c r="H995" s="397">
        <f>H996</f>
        <v>0</v>
      </c>
      <c r="I995" s="192"/>
    </row>
    <row r="996" spans="1:9" ht="31.5" hidden="1" x14ac:dyDescent="0.25">
      <c r="A996" s="396" t="s">
        <v>131</v>
      </c>
      <c r="B996" s="16">
        <v>908</v>
      </c>
      <c r="C996" s="20" t="s">
        <v>234</v>
      </c>
      <c r="D996" s="20" t="s">
        <v>215</v>
      </c>
      <c r="E996" s="20" t="s">
        <v>1293</v>
      </c>
      <c r="F996" s="20" t="s">
        <v>132</v>
      </c>
      <c r="G996" s="397">
        <f>G997</f>
        <v>0</v>
      </c>
      <c r="H996" s="397">
        <f>H997</f>
        <v>0</v>
      </c>
      <c r="I996" s="192"/>
    </row>
    <row r="997" spans="1:9" ht="31.5" hidden="1" x14ac:dyDescent="0.25">
      <c r="A997" s="396" t="s">
        <v>133</v>
      </c>
      <c r="B997" s="16">
        <v>908</v>
      </c>
      <c r="C997" s="20" t="s">
        <v>234</v>
      </c>
      <c r="D997" s="20" t="s">
        <v>215</v>
      </c>
      <c r="E997" s="20" t="s">
        <v>1293</v>
      </c>
      <c r="F997" s="20" t="s">
        <v>134</v>
      </c>
      <c r="G997" s="397"/>
      <c r="H997" s="397"/>
      <c r="I997" s="192"/>
    </row>
    <row r="998" spans="1:9" ht="63" x14ac:dyDescent="0.25">
      <c r="A998" s="394" t="s">
        <v>1513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393">
        <f t="shared" ref="G998:H1001" si="91">G999</f>
        <v>500</v>
      </c>
      <c r="H998" s="393">
        <f t="shared" si="91"/>
        <v>500</v>
      </c>
      <c r="I998" s="192"/>
    </row>
    <row r="999" spans="1:9" ht="31.5" x14ac:dyDescent="0.25">
      <c r="A999" s="394" t="s">
        <v>1067</v>
      </c>
      <c r="B999" s="19">
        <v>908</v>
      </c>
      <c r="C999" s="24" t="s">
        <v>234</v>
      </c>
      <c r="D999" s="24" t="s">
        <v>215</v>
      </c>
      <c r="E999" s="24" t="s">
        <v>1088</v>
      </c>
      <c r="F999" s="24"/>
      <c r="G999" s="393">
        <f t="shared" si="91"/>
        <v>500</v>
      </c>
      <c r="H999" s="393">
        <f t="shared" si="91"/>
        <v>500</v>
      </c>
      <c r="I999" s="192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834</v>
      </c>
      <c r="F1000" s="20"/>
      <c r="G1000" s="397">
        <f t="shared" si="91"/>
        <v>500</v>
      </c>
      <c r="H1000" s="397">
        <f t="shared" si="91"/>
        <v>500</v>
      </c>
      <c r="I1000" s="192"/>
    </row>
    <row r="1001" spans="1:9" ht="31.5" x14ac:dyDescent="0.25">
      <c r="A1001" s="396" t="s">
        <v>131</v>
      </c>
      <c r="B1001" s="16">
        <v>908</v>
      </c>
      <c r="C1001" s="20" t="s">
        <v>234</v>
      </c>
      <c r="D1001" s="20" t="s">
        <v>215</v>
      </c>
      <c r="E1001" s="20" t="s">
        <v>834</v>
      </c>
      <c r="F1001" s="20" t="s">
        <v>132</v>
      </c>
      <c r="G1001" s="397">
        <f t="shared" si="91"/>
        <v>500</v>
      </c>
      <c r="H1001" s="397">
        <f t="shared" si="91"/>
        <v>500</v>
      </c>
      <c r="I1001" s="192"/>
    </row>
    <row r="1002" spans="1:9" ht="31.5" x14ac:dyDescent="0.25">
      <c r="A1002" s="396" t="s">
        <v>133</v>
      </c>
      <c r="B1002" s="16">
        <v>908</v>
      </c>
      <c r="C1002" s="20" t="s">
        <v>234</v>
      </c>
      <c r="D1002" s="20" t="s">
        <v>215</v>
      </c>
      <c r="E1002" s="20" t="s">
        <v>834</v>
      </c>
      <c r="F1002" s="20" t="s">
        <v>134</v>
      </c>
      <c r="G1002" s="397">
        <f>500</f>
        <v>500</v>
      </c>
      <c r="H1002" s="397">
        <f t="shared" si="90"/>
        <v>500</v>
      </c>
      <c r="I1002" s="192"/>
    </row>
    <row r="1003" spans="1:9" ht="31.5" x14ac:dyDescent="0.25">
      <c r="A1003" s="394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393">
        <f>G1004+G1016+G1033</f>
        <v>25304.5</v>
      </c>
      <c r="H1003" s="393">
        <f>H1004+H1016+H1033</f>
        <v>25304.5</v>
      </c>
      <c r="I1003" s="192"/>
    </row>
    <row r="1004" spans="1:9" ht="31.5" x14ac:dyDescent="0.25">
      <c r="A1004" s="394" t="s">
        <v>916</v>
      </c>
      <c r="B1004" s="19">
        <v>908</v>
      </c>
      <c r="C1004" s="24" t="s">
        <v>234</v>
      </c>
      <c r="D1004" s="24" t="s">
        <v>234</v>
      </c>
      <c r="E1004" s="24" t="s">
        <v>857</v>
      </c>
      <c r="F1004" s="24"/>
      <c r="G1004" s="393">
        <f>G1005</f>
        <v>12879.3</v>
      </c>
      <c r="H1004" s="393">
        <f>H1005</f>
        <v>12879.3</v>
      </c>
      <c r="I1004" s="192"/>
    </row>
    <row r="1005" spans="1:9" ht="15.75" x14ac:dyDescent="0.25">
      <c r="A1005" s="394" t="s">
        <v>917</v>
      </c>
      <c r="B1005" s="19">
        <v>908</v>
      </c>
      <c r="C1005" s="24" t="s">
        <v>234</v>
      </c>
      <c r="D1005" s="24" t="s">
        <v>234</v>
      </c>
      <c r="E1005" s="24" t="s">
        <v>858</v>
      </c>
      <c r="F1005" s="24"/>
      <c r="G1005" s="393">
        <f>G1006+G1013</f>
        <v>12879.3</v>
      </c>
      <c r="H1005" s="393">
        <f>H1006+H1013</f>
        <v>12879.3</v>
      </c>
      <c r="I1005" s="192"/>
    </row>
    <row r="1006" spans="1:9" ht="31.5" x14ac:dyDescent="0.25">
      <c r="A1006" s="396" t="s">
        <v>896</v>
      </c>
      <c r="B1006" s="16">
        <v>908</v>
      </c>
      <c r="C1006" s="20" t="s">
        <v>234</v>
      </c>
      <c r="D1006" s="20" t="s">
        <v>234</v>
      </c>
      <c r="E1006" s="20" t="s">
        <v>859</v>
      </c>
      <c r="F1006" s="20"/>
      <c r="G1006" s="397">
        <f>G1007+G1009+G1011</f>
        <v>12511.3</v>
      </c>
      <c r="H1006" s="397">
        <f>H1007+H1009+H1011</f>
        <v>12511.3</v>
      </c>
      <c r="I1006" s="192"/>
    </row>
    <row r="1007" spans="1:9" ht="78.75" x14ac:dyDescent="0.25">
      <c r="A1007" s="396" t="s">
        <v>127</v>
      </c>
      <c r="B1007" s="16">
        <v>908</v>
      </c>
      <c r="C1007" s="20" t="s">
        <v>234</v>
      </c>
      <c r="D1007" s="20" t="s">
        <v>234</v>
      </c>
      <c r="E1007" s="20" t="s">
        <v>859</v>
      </c>
      <c r="F1007" s="20" t="s">
        <v>128</v>
      </c>
      <c r="G1007" s="397">
        <f>G1008</f>
        <v>12439.3</v>
      </c>
      <c r="H1007" s="397">
        <f>H1008</f>
        <v>12439.3</v>
      </c>
      <c r="I1007" s="192"/>
    </row>
    <row r="1008" spans="1:9" ht="31.5" x14ac:dyDescent="0.25">
      <c r="A1008" s="396" t="s">
        <v>129</v>
      </c>
      <c r="B1008" s="16">
        <v>908</v>
      </c>
      <c r="C1008" s="20" t="s">
        <v>234</v>
      </c>
      <c r="D1008" s="20" t="s">
        <v>234</v>
      </c>
      <c r="E1008" s="20" t="s">
        <v>859</v>
      </c>
      <c r="F1008" s="20" t="s">
        <v>130</v>
      </c>
      <c r="G1008" s="397">
        <v>12439.3</v>
      </c>
      <c r="H1008" s="397">
        <f t="shared" si="90"/>
        <v>12439.3</v>
      </c>
      <c r="I1008" s="192"/>
    </row>
    <row r="1009" spans="1:9" ht="31.5" x14ac:dyDescent="0.25">
      <c r="A1009" s="396" t="s">
        <v>131</v>
      </c>
      <c r="B1009" s="16">
        <v>908</v>
      </c>
      <c r="C1009" s="20" t="s">
        <v>234</v>
      </c>
      <c r="D1009" s="20" t="s">
        <v>234</v>
      </c>
      <c r="E1009" s="20" t="s">
        <v>859</v>
      </c>
      <c r="F1009" s="20" t="s">
        <v>132</v>
      </c>
      <c r="G1009" s="397">
        <f>G1010</f>
        <v>25</v>
      </c>
      <c r="H1009" s="397">
        <f>H1010</f>
        <v>25</v>
      </c>
      <c r="I1009" s="192"/>
    </row>
    <row r="1010" spans="1:9" ht="31.5" x14ac:dyDescent="0.25">
      <c r="A1010" s="396" t="s">
        <v>133</v>
      </c>
      <c r="B1010" s="16">
        <v>908</v>
      </c>
      <c r="C1010" s="20" t="s">
        <v>234</v>
      </c>
      <c r="D1010" s="20" t="s">
        <v>234</v>
      </c>
      <c r="E1010" s="20" t="s">
        <v>859</v>
      </c>
      <c r="F1010" s="20" t="s">
        <v>134</v>
      </c>
      <c r="G1010" s="397">
        <f>25</f>
        <v>25</v>
      </c>
      <c r="H1010" s="397">
        <f t="shared" si="90"/>
        <v>25</v>
      </c>
      <c r="I1010" s="192"/>
    </row>
    <row r="1011" spans="1:9" ht="15.75" x14ac:dyDescent="0.25">
      <c r="A1011" s="396" t="s">
        <v>135</v>
      </c>
      <c r="B1011" s="16">
        <v>908</v>
      </c>
      <c r="C1011" s="20" t="s">
        <v>234</v>
      </c>
      <c r="D1011" s="20" t="s">
        <v>234</v>
      </c>
      <c r="E1011" s="20" t="s">
        <v>859</v>
      </c>
      <c r="F1011" s="20" t="s">
        <v>145</v>
      </c>
      <c r="G1011" s="397">
        <f>G1012</f>
        <v>47</v>
      </c>
      <c r="H1011" s="397">
        <f>H1012</f>
        <v>47</v>
      </c>
      <c r="I1011" s="192"/>
    </row>
    <row r="1012" spans="1:9" ht="15.75" x14ac:dyDescent="0.25">
      <c r="A1012" s="396" t="s">
        <v>568</v>
      </c>
      <c r="B1012" s="16">
        <v>908</v>
      </c>
      <c r="C1012" s="20" t="s">
        <v>234</v>
      </c>
      <c r="D1012" s="20" t="s">
        <v>234</v>
      </c>
      <c r="E1012" s="20" t="s">
        <v>859</v>
      </c>
      <c r="F1012" s="20" t="s">
        <v>138</v>
      </c>
      <c r="G1012" s="397">
        <f>47</f>
        <v>47</v>
      </c>
      <c r="H1012" s="397">
        <f t="shared" si="90"/>
        <v>47</v>
      </c>
      <c r="I1012" s="192"/>
    </row>
    <row r="1013" spans="1:9" ht="47.25" x14ac:dyDescent="0.25">
      <c r="A1013" s="396" t="s">
        <v>838</v>
      </c>
      <c r="B1013" s="16">
        <v>908</v>
      </c>
      <c r="C1013" s="20" t="s">
        <v>234</v>
      </c>
      <c r="D1013" s="20" t="s">
        <v>234</v>
      </c>
      <c r="E1013" s="20" t="s">
        <v>861</v>
      </c>
      <c r="F1013" s="20"/>
      <c r="G1013" s="397">
        <f>G1014</f>
        <v>368</v>
      </c>
      <c r="H1013" s="397">
        <f>H1014</f>
        <v>368</v>
      </c>
      <c r="I1013" s="192"/>
    </row>
    <row r="1014" spans="1:9" ht="78.75" x14ac:dyDescent="0.25">
      <c r="A1014" s="396" t="s">
        <v>127</v>
      </c>
      <c r="B1014" s="16">
        <v>908</v>
      </c>
      <c r="C1014" s="20" t="s">
        <v>234</v>
      </c>
      <c r="D1014" s="20" t="s">
        <v>234</v>
      </c>
      <c r="E1014" s="20" t="s">
        <v>861</v>
      </c>
      <c r="F1014" s="20" t="s">
        <v>128</v>
      </c>
      <c r="G1014" s="397">
        <f>G1015</f>
        <v>368</v>
      </c>
      <c r="H1014" s="397">
        <f>H1015</f>
        <v>368</v>
      </c>
      <c r="I1014" s="192"/>
    </row>
    <row r="1015" spans="1:9" ht="31.5" x14ac:dyDescent="0.25">
      <c r="A1015" s="396" t="s">
        <v>129</v>
      </c>
      <c r="B1015" s="16">
        <v>908</v>
      </c>
      <c r="C1015" s="20" t="s">
        <v>234</v>
      </c>
      <c r="D1015" s="20" t="s">
        <v>234</v>
      </c>
      <c r="E1015" s="20" t="s">
        <v>861</v>
      </c>
      <c r="F1015" s="20" t="s">
        <v>130</v>
      </c>
      <c r="G1015" s="397">
        <v>368</v>
      </c>
      <c r="H1015" s="397">
        <f t="shared" si="90"/>
        <v>368</v>
      </c>
      <c r="I1015" s="192"/>
    </row>
    <row r="1016" spans="1:9" ht="15.75" x14ac:dyDescent="0.25">
      <c r="A1016" s="394" t="s">
        <v>141</v>
      </c>
      <c r="B1016" s="19">
        <v>908</v>
      </c>
      <c r="C1016" s="24" t="s">
        <v>234</v>
      </c>
      <c r="D1016" s="24" t="s">
        <v>234</v>
      </c>
      <c r="E1016" s="24" t="s">
        <v>865</v>
      </c>
      <c r="F1016" s="24"/>
      <c r="G1016" s="393">
        <f>G1017+G1024</f>
        <v>12425.2</v>
      </c>
      <c r="H1016" s="393">
        <f>H1017+H1024</f>
        <v>12425.2</v>
      </c>
      <c r="I1016" s="192"/>
    </row>
    <row r="1017" spans="1:9" ht="31.5" x14ac:dyDescent="0.25">
      <c r="A1017" s="394" t="s">
        <v>869</v>
      </c>
      <c r="B1017" s="19">
        <v>908</v>
      </c>
      <c r="C1017" s="24" t="s">
        <v>234</v>
      </c>
      <c r="D1017" s="24" t="s">
        <v>234</v>
      </c>
      <c r="E1017" s="24" t="s">
        <v>864</v>
      </c>
      <c r="F1017" s="24"/>
      <c r="G1017" s="393">
        <f>G1018+G1021</f>
        <v>982</v>
      </c>
      <c r="H1017" s="393">
        <f>H1018+H1021</f>
        <v>982</v>
      </c>
      <c r="I1017" s="192"/>
    </row>
    <row r="1018" spans="1:9" ht="31.5" x14ac:dyDescent="0.25">
      <c r="A1018" s="396" t="s">
        <v>570</v>
      </c>
      <c r="B1018" s="16">
        <v>908</v>
      </c>
      <c r="C1018" s="20" t="s">
        <v>234</v>
      </c>
      <c r="D1018" s="20" t="s">
        <v>234</v>
      </c>
      <c r="E1018" s="20" t="s">
        <v>983</v>
      </c>
      <c r="F1018" s="20"/>
      <c r="G1018" s="397">
        <f>G1019</f>
        <v>982</v>
      </c>
      <c r="H1018" s="397">
        <f>H1019</f>
        <v>982</v>
      </c>
      <c r="I1018" s="192"/>
    </row>
    <row r="1019" spans="1:9" ht="15.75" x14ac:dyDescent="0.25">
      <c r="A1019" s="396" t="s">
        <v>135</v>
      </c>
      <c r="B1019" s="16">
        <v>908</v>
      </c>
      <c r="C1019" s="20" t="s">
        <v>234</v>
      </c>
      <c r="D1019" s="20" t="s">
        <v>234</v>
      </c>
      <c r="E1019" s="20" t="s">
        <v>983</v>
      </c>
      <c r="F1019" s="20" t="s">
        <v>145</v>
      </c>
      <c r="G1019" s="397">
        <f>G1020</f>
        <v>982</v>
      </c>
      <c r="H1019" s="397">
        <f>H1020</f>
        <v>982</v>
      </c>
      <c r="I1019" s="192"/>
    </row>
    <row r="1020" spans="1:9" ht="47.25" x14ac:dyDescent="0.25">
      <c r="A1020" s="396" t="s">
        <v>184</v>
      </c>
      <c r="B1020" s="16">
        <v>908</v>
      </c>
      <c r="C1020" s="20" t="s">
        <v>234</v>
      </c>
      <c r="D1020" s="20" t="s">
        <v>234</v>
      </c>
      <c r="E1020" s="20" t="s">
        <v>983</v>
      </c>
      <c r="F1020" s="20" t="s">
        <v>160</v>
      </c>
      <c r="G1020" s="397">
        <v>982</v>
      </c>
      <c r="H1020" s="397">
        <f t="shared" si="90"/>
        <v>982</v>
      </c>
      <c r="I1020" s="192"/>
    </row>
    <row r="1021" spans="1:9" ht="31.5" hidden="1" x14ac:dyDescent="0.25">
      <c r="A1021" s="396" t="s">
        <v>822</v>
      </c>
      <c r="B1021" s="16">
        <v>908</v>
      </c>
      <c r="C1021" s="20" t="s">
        <v>234</v>
      </c>
      <c r="D1021" s="20" t="s">
        <v>234</v>
      </c>
      <c r="E1021" s="20" t="s">
        <v>1072</v>
      </c>
      <c r="F1021" s="20"/>
      <c r="G1021" s="397">
        <f>G1022</f>
        <v>0</v>
      </c>
      <c r="H1021" s="397">
        <f t="shared" si="90"/>
        <v>0</v>
      </c>
      <c r="I1021" s="192"/>
    </row>
    <row r="1022" spans="1:9" ht="15.75" hidden="1" x14ac:dyDescent="0.25">
      <c r="A1022" s="396" t="s">
        <v>135</v>
      </c>
      <c r="B1022" s="16">
        <v>908</v>
      </c>
      <c r="C1022" s="20" t="s">
        <v>234</v>
      </c>
      <c r="D1022" s="20" t="s">
        <v>234</v>
      </c>
      <c r="E1022" s="20" t="s">
        <v>1072</v>
      </c>
      <c r="F1022" s="20" t="s">
        <v>145</v>
      </c>
      <c r="G1022" s="397">
        <f>G1023</f>
        <v>0</v>
      </c>
      <c r="H1022" s="397">
        <f t="shared" si="90"/>
        <v>0</v>
      </c>
      <c r="I1022" s="192"/>
    </row>
    <row r="1023" spans="1:9" ht="47.25" hidden="1" x14ac:dyDescent="0.25">
      <c r="A1023" s="396" t="s">
        <v>184</v>
      </c>
      <c r="B1023" s="16">
        <v>908</v>
      </c>
      <c r="C1023" s="20" t="s">
        <v>234</v>
      </c>
      <c r="D1023" s="20" t="s">
        <v>234</v>
      </c>
      <c r="E1023" s="20" t="s">
        <v>1072</v>
      </c>
      <c r="F1023" s="20" t="s">
        <v>160</v>
      </c>
      <c r="G1023" s="397">
        <v>0</v>
      </c>
      <c r="H1023" s="397">
        <f t="shared" si="90"/>
        <v>0</v>
      </c>
      <c r="I1023" s="192"/>
    </row>
    <row r="1024" spans="1:9" ht="31.5" x14ac:dyDescent="0.25">
      <c r="A1024" s="394" t="s">
        <v>928</v>
      </c>
      <c r="B1024" s="19">
        <v>908</v>
      </c>
      <c r="C1024" s="24" t="s">
        <v>234</v>
      </c>
      <c r="D1024" s="24" t="s">
        <v>234</v>
      </c>
      <c r="E1024" s="24" t="s">
        <v>913</v>
      </c>
      <c r="F1024" s="24"/>
      <c r="G1024" s="44">
        <f>G1025+G1030</f>
        <v>11443.2</v>
      </c>
      <c r="H1024" s="44">
        <f>H1025+H1030</f>
        <v>11443.2</v>
      </c>
      <c r="I1024" s="192"/>
    </row>
    <row r="1025" spans="1:9" ht="31.5" x14ac:dyDescent="0.25">
      <c r="A1025" s="396" t="s">
        <v>902</v>
      </c>
      <c r="B1025" s="16">
        <v>908</v>
      </c>
      <c r="C1025" s="20" t="s">
        <v>234</v>
      </c>
      <c r="D1025" s="20" t="s">
        <v>234</v>
      </c>
      <c r="E1025" s="20" t="s">
        <v>914</v>
      </c>
      <c r="F1025" s="20"/>
      <c r="G1025" s="397">
        <f>G1026+G1028</f>
        <v>10845.2</v>
      </c>
      <c r="H1025" s="397">
        <f>H1026+H1028</f>
        <v>10845.2</v>
      </c>
      <c r="I1025" s="192"/>
    </row>
    <row r="1026" spans="1:9" ht="78.75" x14ac:dyDescent="0.25">
      <c r="A1026" s="396" t="s">
        <v>127</v>
      </c>
      <c r="B1026" s="16">
        <v>908</v>
      </c>
      <c r="C1026" s="20" t="s">
        <v>234</v>
      </c>
      <c r="D1026" s="20" t="s">
        <v>234</v>
      </c>
      <c r="E1026" s="20" t="s">
        <v>914</v>
      </c>
      <c r="F1026" s="20" t="s">
        <v>128</v>
      </c>
      <c r="G1026" s="397">
        <f>G1027</f>
        <v>9193</v>
      </c>
      <c r="H1026" s="397">
        <f>H1027</f>
        <v>9193</v>
      </c>
      <c r="I1026" s="192"/>
    </row>
    <row r="1027" spans="1:9" ht="31.5" x14ac:dyDescent="0.25">
      <c r="A1027" s="396" t="s">
        <v>342</v>
      </c>
      <c r="B1027" s="16">
        <v>908</v>
      </c>
      <c r="C1027" s="20" t="s">
        <v>234</v>
      </c>
      <c r="D1027" s="20" t="s">
        <v>234</v>
      </c>
      <c r="E1027" s="20" t="s">
        <v>914</v>
      </c>
      <c r="F1027" s="20" t="s">
        <v>209</v>
      </c>
      <c r="G1027" s="397">
        <v>9193</v>
      </c>
      <c r="H1027" s="397">
        <f t="shared" si="90"/>
        <v>9193</v>
      </c>
      <c r="I1027" s="192"/>
    </row>
    <row r="1028" spans="1:9" ht="31.5" x14ac:dyDescent="0.25">
      <c r="A1028" s="396" t="s">
        <v>131</v>
      </c>
      <c r="B1028" s="16">
        <v>908</v>
      </c>
      <c r="C1028" s="20" t="s">
        <v>234</v>
      </c>
      <c r="D1028" s="20" t="s">
        <v>234</v>
      </c>
      <c r="E1028" s="20" t="s">
        <v>914</v>
      </c>
      <c r="F1028" s="20" t="s">
        <v>132</v>
      </c>
      <c r="G1028" s="397">
        <f>G1029</f>
        <v>1652.2</v>
      </c>
      <c r="H1028" s="397">
        <f>H1029</f>
        <v>1652.2</v>
      </c>
      <c r="I1028" s="192"/>
    </row>
    <row r="1029" spans="1:9" ht="31.5" x14ac:dyDescent="0.25">
      <c r="A1029" s="396" t="s">
        <v>133</v>
      </c>
      <c r="B1029" s="16">
        <v>908</v>
      </c>
      <c r="C1029" s="20" t="s">
        <v>234</v>
      </c>
      <c r="D1029" s="20" t="s">
        <v>234</v>
      </c>
      <c r="E1029" s="20" t="s">
        <v>914</v>
      </c>
      <c r="F1029" s="20" t="s">
        <v>134</v>
      </c>
      <c r="G1029" s="397">
        <v>1652.2</v>
      </c>
      <c r="H1029" s="397">
        <f t="shared" si="90"/>
        <v>1652.2</v>
      </c>
      <c r="I1029" s="192"/>
    </row>
    <row r="1030" spans="1:9" ht="47.25" x14ac:dyDescent="0.25">
      <c r="A1030" s="396" t="s">
        <v>838</v>
      </c>
      <c r="B1030" s="16">
        <v>908</v>
      </c>
      <c r="C1030" s="20" t="s">
        <v>234</v>
      </c>
      <c r="D1030" s="20" t="s">
        <v>234</v>
      </c>
      <c r="E1030" s="20" t="s">
        <v>915</v>
      </c>
      <c r="F1030" s="20"/>
      <c r="G1030" s="397">
        <f>G1031</f>
        <v>598</v>
      </c>
      <c r="H1030" s="397">
        <f>H1031</f>
        <v>598</v>
      </c>
      <c r="I1030" s="192"/>
    </row>
    <row r="1031" spans="1:9" ht="78.75" x14ac:dyDescent="0.25">
      <c r="A1031" s="396" t="s">
        <v>127</v>
      </c>
      <c r="B1031" s="16">
        <v>908</v>
      </c>
      <c r="C1031" s="20" t="s">
        <v>234</v>
      </c>
      <c r="D1031" s="20" t="s">
        <v>234</v>
      </c>
      <c r="E1031" s="20" t="s">
        <v>915</v>
      </c>
      <c r="F1031" s="20" t="s">
        <v>128</v>
      </c>
      <c r="G1031" s="397">
        <f>G1032</f>
        <v>598</v>
      </c>
      <c r="H1031" s="397">
        <f>H1032</f>
        <v>598</v>
      </c>
      <c r="I1031" s="192"/>
    </row>
    <row r="1032" spans="1:9" ht="23.25" customHeight="1" x14ac:dyDescent="0.25">
      <c r="A1032" s="396" t="s">
        <v>342</v>
      </c>
      <c r="B1032" s="16">
        <v>908</v>
      </c>
      <c r="C1032" s="20" t="s">
        <v>234</v>
      </c>
      <c r="D1032" s="20" t="s">
        <v>234</v>
      </c>
      <c r="E1032" s="20" t="s">
        <v>915</v>
      </c>
      <c r="F1032" s="20" t="s">
        <v>209</v>
      </c>
      <c r="G1032" s="397">
        <v>598</v>
      </c>
      <c r="H1032" s="397">
        <f t="shared" si="90"/>
        <v>598</v>
      </c>
      <c r="I1032" s="192"/>
    </row>
    <row r="1033" spans="1:9" s="191" customFormat="1" ht="47.25" hidden="1" x14ac:dyDescent="0.25">
      <c r="A1033" s="34" t="s">
        <v>1356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393">
        <f t="shared" ref="G1033:H1036" si="92">G1034</f>
        <v>0</v>
      </c>
      <c r="H1033" s="393">
        <f t="shared" si="92"/>
        <v>0</v>
      </c>
      <c r="I1033" s="192"/>
    </row>
    <row r="1034" spans="1:9" s="191" customFormat="1" ht="63" hidden="1" x14ac:dyDescent="0.25">
      <c r="A1034" s="34" t="s">
        <v>1008</v>
      </c>
      <c r="B1034" s="19">
        <v>908</v>
      </c>
      <c r="C1034" s="24" t="s">
        <v>234</v>
      </c>
      <c r="D1034" s="24" t="s">
        <v>234</v>
      </c>
      <c r="E1034" s="24" t="s">
        <v>933</v>
      </c>
      <c r="F1034" s="24"/>
      <c r="G1034" s="393">
        <f t="shared" si="92"/>
        <v>0</v>
      </c>
      <c r="H1034" s="393">
        <f t="shared" si="92"/>
        <v>0</v>
      </c>
      <c r="I1034" s="192"/>
    </row>
    <row r="1035" spans="1:9" s="191" customFormat="1" ht="47.25" hidden="1" x14ac:dyDescent="0.25">
      <c r="A1035" s="31" t="s">
        <v>1081</v>
      </c>
      <c r="B1035" s="16">
        <v>908</v>
      </c>
      <c r="C1035" s="20" t="s">
        <v>234</v>
      </c>
      <c r="D1035" s="20" t="s">
        <v>234</v>
      </c>
      <c r="E1035" s="20" t="s">
        <v>1025</v>
      </c>
      <c r="F1035" s="20"/>
      <c r="G1035" s="397">
        <f t="shared" si="92"/>
        <v>0</v>
      </c>
      <c r="H1035" s="397">
        <f t="shared" si="92"/>
        <v>0</v>
      </c>
      <c r="I1035" s="192"/>
    </row>
    <row r="1036" spans="1:9" s="191" customFormat="1" ht="31.5" hidden="1" x14ac:dyDescent="0.25">
      <c r="A1036" s="396" t="s">
        <v>131</v>
      </c>
      <c r="B1036" s="16">
        <v>908</v>
      </c>
      <c r="C1036" s="20" t="s">
        <v>234</v>
      </c>
      <c r="D1036" s="20" t="s">
        <v>234</v>
      </c>
      <c r="E1036" s="20" t="s">
        <v>1025</v>
      </c>
      <c r="F1036" s="20" t="s">
        <v>132</v>
      </c>
      <c r="G1036" s="397">
        <f t="shared" si="92"/>
        <v>0</v>
      </c>
      <c r="H1036" s="397">
        <f t="shared" si="92"/>
        <v>0</v>
      </c>
      <c r="I1036" s="192"/>
    </row>
    <row r="1037" spans="1:9" s="191" customFormat="1" ht="31.5" hidden="1" x14ac:dyDescent="0.25">
      <c r="A1037" s="396" t="s">
        <v>133</v>
      </c>
      <c r="B1037" s="16">
        <v>908</v>
      </c>
      <c r="C1037" s="20" t="s">
        <v>234</v>
      </c>
      <c r="D1037" s="20" t="s">
        <v>234</v>
      </c>
      <c r="E1037" s="20" t="s">
        <v>1025</v>
      </c>
      <c r="F1037" s="20" t="s">
        <v>134</v>
      </c>
      <c r="G1037" s="397">
        <v>0</v>
      </c>
      <c r="H1037" s="397">
        <v>0</v>
      </c>
      <c r="I1037" s="192"/>
    </row>
    <row r="1038" spans="1:9" ht="15.75" x14ac:dyDescent="0.25">
      <c r="A1038" s="394" t="s">
        <v>243</v>
      </c>
      <c r="B1038" s="19">
        <v>908</v>
      </c>
      <c r="C1038" s="24" t="s">
        <v>244</v>
      </c>
      <c r="D1038" s="24"/>
      <c r="E1038" s="24"/>
      <c r="F1038" s="24"/>
      <c r="G1038" s="393">
        <f t="shared" ref="G1038:H1039" si="93">G1039</f>
        <v>87</v>
      </c>
      <c r="H1038" s="393">
        <f t="shared" si="93"/>
        <v>87</v>
      </c>
      <c r="I1038" s="192"/>
    </row>
    <row r="1039" spans="1:9" ht="15.75" x14ac:dyDescent="0.25">
      <c r="A1039" s="394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393">
        <f t="shared" si="93"/>
        <v>87</v>
      </c>
      <c r="H1039" s="393">
        <f t="shared" si="93"/>
        <v>87</v>
      </c>
      <c r="I1039" s="192"/>
    </row>
    <row r="1040" spans="1:9" ht="15.75" x14ac:dyDescent="0.25">
      <c r="A1040" s="394" t="s">
        <v>141</v>
      </c>
      <c r="B1040" s="19">
        <v>908</v>
      </c>
      <c r="C1040" s="24" t="s">
        <v>244</v>
      </c>
      <c r="D1040" s="24" t="s">
        <v>120</v>
      </c>
      <c r="E1040" s="24" t="s">
        <v>865</v>
      </c>
      <c r="F1040" s="24"/>
      <c r="G1040" s="393">
        <f t="shared" ref="G1040:H1042" si="94">G1041</f>
        <v>87</v>
      </c>
      <c r="H1040" s="393">
        <f t="shared" si="94"/>
        <v>87</v>
      </c>
      <c r="I1040" s="192"/>
    </row>
    <row r="1041" spans="1:9" ht="15.75" x14ac:dyDescent="0.25">
      <c r="A1041" s="394" t="s">
        <v>141</v>
      </c>
      <c r="B1041" s="19">
        <v>908</v>
      </c>
      <c r="C1041" s="24" t="s">
        <v>244</v>
      </c>
      <c r="D1041" s="24" t="s">
        <v>120</v>
      </c>
      <c r="E1041" s="24" t="s">
        <v>864</v>
      </c>
      <c r="F1041" s="24"/>
      <c r="G1041" s="393">
        <f t="shared" si="94"/>
        <v>87</v>
      </c>
      <c r="H1041" s="393">
        <f t="shared" si="94"/>
        <v>87</v>
      </c>
      <c r="I1041" s="192"/>
    </row>
    <row r="1042" spans="1:9" ht="31.5" x14ac:dyDescent="0.25">
      <c r="A1042" s="394" t="s">
        <v>869</v>
      </c>
      <c r="B1042" s="19">
        <v>908</v>
      </c>
      <c r="C1042" s="24" t="s">
        <v>244</v>
      </c>
      <c r="D1042" s="24" t="s">
        <v>120</v>
      </c>
      <c r="E1042" s="24" t="s">
        <v>864</v>
      </c>
      <c r="F1042" s="24"/>
      <c r="G1042" s="393">
        <f t="shared" si="94"/>
        <v>87</v>
      </c>
      <c r="H1042" s="393">
        <f t="shared" si="94"/>
        <v>87</v>
      </c>
      <c r="I1042" s="192"/>
    </row>
    <row r="1043" spans="1:9" ht="15.75" x14ac:dyDescent="0.25">
      <c r="A1043" s="396" t="s">
        <v>572</v>
      </c>
      <c r="B1043" s="16">
        <v>908</v>
      </c>
      <c r="C1043" s="20" t="s">
        <v>244</v>
      </c>
      <c r="D1043" s="20" t="s">
        <v>120</v>
      </c>
      <c r="E1043" s="20" t="s">
        <v>984</v>
      </c>
      <c r="F1043" s="20"/>
      <c r="G1043" s="397">
        <f>G1044</f>
        <v>87</v>
      </c>
      <c r="H1043" s="397">
        <f>H1044</f>
        <v>87</v>
      </c>
      <c r="I1043" s="192"/>
    </row>
    <row r="1044" spans="1:9" ht="31.5" x14ac:dyDescent="0.25">
      <c r="A1044" s="396" t="s">
        <v>131</v>
      </c>
      <c r="B1044" s="16">
        <v>908</v>
      </c>
      <c r="C1044" s="20" t="s">
        <v>244</v>
      </c>
      <c r="D1044" s="20" t="s">
        <v>120</v>
      </c>
      <c r="E1044" s="20" t="s">
        <v>984</v>
      </c>
      <c r="F1044" s="20" t="s">
        <v>132</v>
      </c>
      <c r="G1044" s="397">
        <f>G1045</f>
        <v>87</v>
      </c>
      <c r="H1044" s="397">
        <f>H1045</f>
        <v>87</v>
      </c>
      <c r="I1044" s="192"/>
    </row>
    <row r="1045" spans="1:9" ht="31.5" x14ac:dyDescent="0.25">
      <c r="A1045" s="396" t="s">
        <v>133</v>
      </c>
      <c r="B1045" s="16">
        <v>908</v>
      </c>
      <c r="C1045" s="20" t="s">
        <v>244</v>
      </c>
      <c r="D1045" s="20" t="s">
        <v>120</v>
      </c>
      <c r="E1045" s="20" t="s">
        <v>984</v>
      </c>
      <c r="F1045" s="20" t="s">
        <v>134</v>
      </c>
      <c r="G1045" s="397">
        <f>87</f>
        <v>87</v>
      </c>
      <c r="H1045" s="397">
        <f t="shared" ref="H1045:H1093" si="95">G1045</f>
        <v>87</v>
      </c>
      <c r="I1045" s="192"/>
    </row>
    <row r="1046" spans="1:9" ht="31.5" x14ac:dyDescent="0.25">
      <c r="A1046" s="391" t="s">
        <v>1370</v>
      </c>
      <c r="B1046" s="19">
        <v>910</v>
      </c>
      <c r="C1046" s="47"/>
      <c r="D1046" s="47"/>
      <c r="E1046" s="47"/>
      <c r="F1046" s="47"/>
      <c r="G1046" s="393">
        <f>G1047</f>
        <v>7286.5</v>
      </c>
      <c r="H1046" s="393">
        <f>H1047</f>
        <v>7286.5</v>
      </c>
      <c r="I1046" s="192"/>
    </row>
    <row r="1047" spans="1:9" ht="15.75" x14ac:dyDescent="0.25">
      <c r="A1047" s="394" t="s">
        <v>117</v>
      </c>
      <c r="B1047" s="19">
        <v>910</v>
      </c>
      <c r="C1047" s="24" t="s">
        <v>118</v>
      </c>
      <c r="D1047" s="24"/>
      <c r="E1047" s="24"/>
      <c r="F1047" s="24"/>
      <c r="G1047" s="393">
        <f>G1048+G1067+G1083</f>
        <v>7286.5</v>
      </c>
      <c r="H1047" s="393">
        <f>H1048+H1067+H1083</f>
        <v>7286.5</v>
      </c>
      <c r="I1047" s="192"/>
    </row>
    <row r="1048" spans="1:9" ht="47.25" hidden="1" x14ac:dyDescent="0.25">
      <c r="A1048" s="394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393">
        <f>G1049+G1059</f>
        <v>0</v>
      </c>
      <c r="H1048" s="393">
        <f>H1049+H1059</f>
        <v>0</v>
      </c>
      <c r="I1048" s="192"/>
    </row>
    <row r="1049" spans="1:9" ht="31.5" hidden="1" x14ac:dyDescent="0.25">
      <c r="A1049" s="394" t="s">
        <v>916</v>
      </c>
      <c r="B1049" s="19">
        <v>910</v>
      </c>
      <c r="C1049" s="24" t="s">
        <v>118</v>
      </c>
      <c r="D1049" s="24" t="s">
        <v>213</v>
      </c>
      <c r="E1049" s="24" t="s">
        <v>857</v>
      </c>
      <c r="F1049" s="24"/>
      <c r="G1049" s="393">
        <f>G1050</f>
        <v>0</v>
      </c>
      <c r="H1049" s="393">
        <f>H1050</f>
        <v>0</v>
      </c>
      <c r="I1049" s="192"/>
    </row>
    <row r="1050" spans="1:9" ht="31.5" hidden="1" x14ac:dyDescent="0.25">
      <c r="A1050" s="394" t="s">
        <v>985</v>
      </c>
      <c r="B1050" s="19">
        <v>910</v>
      </c>
      <c r="C1050" s="24" t="s">
        <v>118</v>
      </c>
      <c r="D1050" s="24" t="s">
        <v>213</v>
      </c>
      <c r="E1050" s="24" t="s">
        <v>986</v>
      </c>
      <c r="F1050" s="24"/>
      <c r="G1050" s="393">
        <f>G1051+G1056</f>
        <v>0</v>
      </c>
      <c r="H1050" s="393">
        <f>H1051+H1056</f>
        <v>0</v>
      </c>
      <c r="I1050" s="192"/>
    </row>
    <row r="1051" spans="1:9" ht="31.5" hidden="1" x14ac:dyDescent="0.25">
      <c r="A1051" s="396" t="s">
        <v>576</v>
      </c>
      <c r="B1051" s="16">
        <v>910</v>
      </c>
      <c r="C1051" s="20" t="s">
        <v>118</v>
      </c>
      <c r="D1051" s="20" t="s">
        <v>213</v>
      </c>
      <c r="E1051" s="20" t="s">
        <v>987</v>
      </c>
      <c r="F1051" s="20"/>
      <c r="G1051" s="397">
        <f>G1052+G1054</f>
        <v>0</v>
      </c>
      <c r="H1051" s="397">
        <f>H1052+H1054</f>
        <v>0</v>
      </c>
      <c r="I1051" s="192"/>
    </row>
    <row r="1052" spans="1:9" ht="78.75" hidden="1" x14ac:dyDescent="0.25">
      <c r="A1052" s="396" t="s">
        <v>127</v>
      </c>
      <c r="B1052" s="16">
        <v>910</v>
      </c>
      <c r="C1052" s="20" t="s">
        <v>118</v>
      </c>
      <c r="D1052" s="20" t="s">
        <v>213</v>
      </c>
      <c r="E1052" s="20" t="s">
        <v>987</v>
      </c>
      <c r="F1052" s="20" t="s">
        <v>128</v>
      </c>
      <c r="G1052" s="397">
        <f>G1053</f>
        <v>0</v>
      </c>
      <c r="H1052" s="397">
        <f>H1053</f>
        <v>0</v>
      </c>
      <c r="I1052" s="192"/>
    </row>
    <row r="1053" spans="1:9" ht="31.5" hidden="1" x14ac:dyDescent="0.25">
      <c r="A1053" s="396" t="s">
        <v>129</v>
      </c>
      <c r="B1053" s="16">
        <v>910</v>
      </c>
      <c r="C1053" s="20" t="s">
        <v>118</v>
      </c>
      <c r="D1053" s="20" t="s">
        <v>213</v>
      </c>
      <c r="E1053" s="20" t="s">
        <v>987</v>
      </c>
      <c r="F1053" s="20" t="s">
        <v>130</v>
      </c>
      <c r="G1053" s="397">
        <v>0</v>
      </c>
      <c r="H1053" s="397">
        <v>0</v>
      </c>
      <c r="I1053" s="192"/>
    </row>
    <row r="1054" spans="1:9" ht="31.5" hidden="1" x14ac:dyDescent="0.25">
      <c r="A1054" s="396" t="s">
        <v>198</v>
      </c>
      <c r="B1054" s="16">
        <v>910</v>
      </c>
      <c r="C1054" s="20" t="s">
        <v>118</v>
      </c>
      <c r="D1054" s="20" t="s">
        <v>213</v>
      </c>
      <c r="E1054" s="20" t="s">
        <v>987</v>
      </c>
      <c r="F1054" s="20" t="s">
        <v>132</v>
      </c>
      <c r="G1054" s="397">
        <f>G1055</f>
        <v>0</v>
      </c>
      <c r="H1054" s="397">
        <f>H1055</f>
        <v>0</v>
      </c>
      <c r="I1054" s="192"/>
    </row>
    <row r="1055" spans="1:9" ht="31.5" hidden="1" x14ac:dyDescent="0.25">
      <c r="A1055" s="396" t="s">
        <v>133</v>
      </c>
      <c r="B1055" s="16">
        <v>910</v>
      </c>
      <c r="C1055" s="20" t="s">
        <v>118</v>
      </c>
      <c r="D1055" s="20" t="s">
        <v>213</v>
      </c>
      <c r="E1055" s="20" t="s">
        <v>987</v>
      </c>
      <c r="F1055" s="20" t="s">
        <v>134</v>
      </c>
      <c r="G1055" s="397">
        <v>0</v>
      </c>
      <c r="H1055" s="397">
        <v>0</v>
      </c>
      <c r="I1055" s="192"/>
    </row>
    <row r="1056" spans="1:9" ht="47.25" hidden="1" x14ac:dyDescent="0.25">
      <c r="A1056" s="396" t="s">
        <v>838</v>
      </c>
      <c r="B1056" s="16">
        <v>910</v>
      </c>
      <c r="C1056" s="20" t="s">
        <v>118</v>
      </c>
      <c r="D1056" s="20" t="s">
        <v>213</v>
      </c>
      <c r="E1056" s="20" t="s">
        <v>988</v>
      </c>
      <c r="F1056" s="20"/>
      <c r="G1056" s="397">
        <f>G1057</f>
        <v>0</v>
      </c>
      <c r="H1056" s="397">
        <f>H1057</f>
        <v>0</v>
      </c>
      <c r="I1056" s="192"/>
    </row>
    <row r="1057" spans="1:9" ht="78.75" hidden="1" x14ac:dyDescent="0.25">
      <c r="A1057" s="396" t="s">
        <v>127</v>
      </c>
      <c r="B1057" s="16">
        <v>910</v>
      </c>
      <c r="C1057" s="20" t="s">
        <v>118</v>
      </c>
      <c r="D1057" s="20" t="s">
        <v>213</v>
      </c>
      <c r="E1057" s="20" t="s">
        <v>988</v>
      </c>
      <c r="F1057" s="20" t="s">
        <v>128</v>
      </c>
      <c r="G1057" s="397">
        <f>G1058</f>
        <v>0</v>
      </c>
      <c r="H1057" s="397">
        <f>H1058</f>
        <v>0</v>
      </c>
      <c r="I1057" s="192"/>
    </row>
    <row r="1058" spans="1:9" ht="31.5" hidden="1" x14ac:dyDescent="0.25">
      <c r="A1058" s="396" t="s">
        <v>129</v>
      </c>
      <c r="B1058" s="16">
        <v>910</v>
      </c>
      <c r="C1058" s="20" t="s">
        <v>118</v>
      </c>
      <c r="D1058" s="20" t="s">
        <v>213</v>
      </c>
      <c r="E1058" s="20" t="s">
        <v>988</v>
      </c>
      <c r="F1058" s="20" t="s">
        <v>130</v>
      </c>
      <c r="G1058" s="397">
        <v>0</v>
      </c>
      <c r="H1058" s="397">
        <v>0</v>
      </c>
      <c r="I1058" s="192"/>
    </row>
    <row r="1059" spans="1:9" ht="47.25" hidden="1" x14ac:dyDescent="0.25">
      <c r="A1059" s="394" t="s">
        <v>1176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393">
        <f>G1060</f>
        <v>0</v>
      </c>
      <c r="H1059" s="393">
        <f>H1060</f>
        <v>0</v>
      </c>
      <c r="I1059" s="192"/>
    </row>
    <row r="1060" spans="1:9" ht="63" hidden="1" x14ac:dyDescent="0.25">
      <c r="A1060" s="204" t="s">
        <v>842</v>
      </c>
      <c r="B1060" s="19">
        <v>910</v>
      </c>
      <c r="C1060" s="24" t="s">
        <v>118</v>
      </c>
      <c r="D1060" s="24" t="s">
        <v>213</v>
      </c>
      <c r="E1060" s="24" t="s">
        <v>849</v>
      </c>
      <c r="F1060" s="24"/>
      <c r="G1060" s="393">
        <f>G1061+G1064</f>
        <v>0</v>
      </c>
      <c r="H1060" s="393">
        <f>H1061+H1064</f>
        <v>0</v>
      </c>
      <c r="I1060" s="192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992</v>
      </c>
      <c r="F1061" s="20"/>
      <c r="G1061" s="397">
        <f>G1062</f>
        <v>0</v>
      </c>
      <c r="H1061" s="397">
        <f>H1062</f>
        <v>0</v>
      </c>
      <c r="I1061" s="192"/>
    </row>
    <row r="1062" spans="1:9" ht="31.5" hidden="1" x14ac:dyDescent="0.25">
      <c r="A1062" s="396" t="s">
        <v>131</v>
      </c>
      <c r="B1062" s="16">
        <v>910</v>
      </c>
      <c r="C1062" s="20" t="s">
        <v>118</v>
      </c>
      <c r="D1062" s="20" t="s">
        <v>213</v>
      </c>
      <c r="E1062" s="40" t="s">
        <v>992</v>
      </c>
      <c r="F1062" s="20" t="s">
        <v>132</v>
      </c>
      <c r="G1062" s="397">
        <f>G1063</f>
        <v>0</v>
      </c>
      <c r="H1062" s="397">
        <f>H1063</f>
        <v>0</v>
      </c>
      <c r="I1062" s="192"/>
    </row>
    <row r="1063" spans="1:9" ht="31.5" hidden="1" x14ac:dyDescent="0.25">
      <c r="A1063" s="396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397">
        <v>0</v>
      </c>
      <c r="H1063" s="397">
        <v>0</v>
      </c>
      <c r="I1063" s="192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991</v>
      </c>
      <c r="F1064" s="20"/>
      <c r="G1064" s="397">
        <f>G1065</f>
        <v>0</v>
      </c>
      <c r="H1064" s="397">
        <f>H1065</f>
        <v>0</v>
      </c>
      <c r="I1064" s="192"/>
    </row>
    <row r="1065" spans="1:9" ht="31.5" hidden="1" x14ac:dyDescent="0.25">
      <c r="A1065" s="396" t="s">
        <v>131</v>
      </c>
      <c r="B1065" s="16">
        <v>910</v>
      </c>
      <c r="C1065" s="20" t="s">
        <v>118</v>
      </c>
      <c r="D1065" s="20" t="s">
        <v>213</v>
      </c>
      <c r="E1065" s="20" t="s">
        <v>991</v>
      </c>
      <c r="F1065" s="20" t="s">
        <v>132</v>
      </c>
      <c r="G1065" s="397">
        <f>G1066</f>
        <v>0</v>
      </c>
      <c r="H1065" s="397">
        <f>H1066</f>
        <v>0</v>
      </c>
      <c r="I1065" s="192"/>
    </row>
    <row r="1066" spans="1:9" ht="31.5" hidden="1" x14ac:dyDescent="0.25">
      <c r="A1066" s="396" t="s">
        <v>133</v>
      </c>
      <c r="B1066" s="16">
        <v>910</v>
      </c>
      <c r="C1066" s="20" t="s">
        <v>118</v>
      </c>
      <c r="D1066" s="20" t="s">
        <v>213</v>
      </c>
      <c r="E1066" s="20" t="s">
        <v>991</v>
      </c>
      <c r="F1066" s="20" t="s">
        <v>134</v>
      </c>
      <c r="G1066" s="397">
        <v>0</v>
      </c>
      <c r="H1066" s="397">
        <v>0</v>
      </c>
      <c r="I1066" s="192"/>
    </row>
    <row r="1067" spans="1:9" ht="63" x14ac:dyDescent="0.25">
      <c r="A1067" s="394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393">
        <f>G1068</f>
        <v>5488</v>
      </c>
      <c r="H1067" s="393">
        <f>H1068</f>
        <v>5488</v>
      </c>
      <c r="I1067" s="192"/>
    </row>
    <row r="1068" spans="1:9" ht="31.5" x14ac:dyDescent="0.25">
      <c r="A1068" s="394" t="s">
        <v>916</v>
      </c>
      <c r="B1068" s="19">
        <v>910</v>
      </c>
      <c r="C1068" s="24" t="s">
        <v>118</v>
      </c>
      <c r="D1068" s="24" t="s">
        <v>215</v>
      </c>
      <c r="E1068" s="24" t="s">
        <v>857</v>
      </c>
      <c r="F1068" s="24"/>
      <c r="G1068" s="393">
        <f>G1069</f>
        <v>5488</v>
      </c>
      <c r="H1068" s="393">
        <f>H1069</f>
        <v>5488</v>
      </c>
      <c r="I1068" s="192"/>
    </row>
    <row r="1069" spans="1:9" ht="31.5" x14ac:dyDescent="0.25">
      <c r="A1069" s="394" t="s">
        <v>985</v>
      </c>
      <c r="B1069" s="19">
        <v>910</v>
      </c>
      <c r="C1069" s="24" t="s">
        <v>118</v>
      </c>
      <c r="D1069" s="24" t="s">
        <v>215</v>
      </c>
      <c r="E1069" s="24" t="s">
        <v>986</v>
      </c>
      <c r="F1069" s="24"/>
      <c r="G1069" s="393">
        <f>G1075+G1080+G1070</f>
        <v>5488</v>
      </c>
      <c r="H1069" s="393">
        <f>H1075+H1080+H1070</f>
        <v>5488</v>
      </c>
      <c r="I1069" s="192"/>
    </row>
    <row r="1070" spans="1:9" s="191" customFormat="1" ht="47.25" x14ac:dyDescent="0.25">
      <c r="A1070" s="265" t="s">
        <v>1362</v>
      </c>
      <c r="B1070" s="16">
        <v>910</v>
      </c>
      <c r="C1070" s="20" t="s">
        <v>118</v>
      </c>
      <c r="D1070" s="20" t="s">
        <v>215</v>
      </c>
      <c r="E1070" s="20" t="s">
        <v>1400</v>
      </c>
      <c r="F1070" s="24"/>
      <c r="G1070" s="397">
        <f>G1071+G1073</f>
        <v>4247.6000000000004</v>
      </c>
      <c r="H1070" s="397">
        <f>H1071+H1073</f>
        <v>4247.6000000000004</v>
      </c>
      <c r="I1070" s="192"/>
    </row>
    <row r="1071" spans="1:9" s="191" customFormat="1" ht="78.75" x14ac:dyDescent="0.25">
      <c r="A1071" s="396" t="s">
        <v>127</v>
      </c>
      <c r="B1071" s="16">
        <v>910</v>
      </c>
      <c r="C1071" s="20" t="s">
        <v>118</v>
      </c>
      <c r="D1071" s="20" t="s">
        <v>215</v>
      </c>
      <c r="E1071" s="20" t="s">
        <v>1400</v>
      </c>
      <c r="F1071" s="20" t="s">
        <v>128</v>
      </c>
      <c r="G1071" s="397">
        <f>G1072</f>
        <v>4154.6000000000004</v>
      </c>
      <c r="H1071" s="397">
        <f>H1072</f>
        <v>4154.6000000000004</v>
      </c>
      <c r="I1071" s="192"/>
    </row>
    <row r="1072" spans="1:9" s="191" customFormat="1" ht="31.5" x14ac:dyDescent="0.25">
      <c r="A1072" s="396" t="s">
        <v>129</v>
      </c>
      <c r="B1072" s="16">
        <v>910</v>
      </c>
      <c r="C1072" s="20" t="s">
        <v>118</v>
      </c>
      <c r="D1072" s="20" t="s">
        <v>215</v>
      </c>
      <c r="E1072" s="20" t="s">
        <v>1400</v>
      </c>
      <c r="F1072" s="20" t="s">
        <v>130</v>
      </c>
      <c r="G1072" s="397">
        <v>4154.6000000000004</v>
      </c>
      <c r="H1072" s="397">
        <f>G1072</f>
        <v>4154.6000000000004</v>
      </c>
      <c r="I1072" s="192"/>
    </row>
    <row r="1073" spans="1:9" s="191" customFormat="1" ht="31.5" x14ac:dyDescent="0.25">
      <c r="A1073" s="396" t="s">
        <v>198</v>
      </c>
      <c r="B1073" s="16">
        <v>910</v>
      </c>
      <c r="C1073" s="20" t="s">
        <v>118</v>
      </c>
      <c r="D1073" s="20" t="s">
        <v>215</v>
      </c>
      <c r="E1073" s="20" t="s">
        <v>1400</v>
      </c>
      <c r="F1073" s="20" t="s">
        <v>132</v>
      </c>
      <c r="G1073" s="397">
        <f>G1074</f>
        <v>93</v>
      </c>
      <c r="H1073" s="397">
        <f>H1074</f>
        <v>93</v>
      </c>
      <c r="I1073" s="192"/>
    </row>
    <row r="1074" spans="1:9" s="191" customFormat="1" ht="31.5" x14ac:dyDescent="0.25">
      <c r="A1074" s="396" t="s">
        <v>133</v>
      </c>
      <c r="B1074" s="16">
        <v>910</v>
      </c>
      <c r="C1074" s="20" t="s">
        <v>118</v>
      </c>
      <c r="D1074" s="20" t="s">
        <v>215</v>
      </c>
      <c r="E1074" s="20" t="s">
        <v>1400</v>
      </c>
      <c r="F1074" s="20" t="s">
        <v>134</v>
      </c>
      <c r="G1074" s="397">
        <v>93</v>
      </c>
      <c r="H1074" s="397">
        <f>G1074</f>
        <v>93</v>
      </c>
      <c r="I1074" s="192"/>
    </row>
    <row r="1075" spans="1:9" ht="31.5" x14ac:dyDescent="0.25">
      <c r="A1075" s="396" t="s">
        <v>989</v>
      </c>
      <c r="B1075" s="16">
        <v>910</v>
      </c>
      <c r="C1075" s="20" t="s">
        <v>118</v>
      </c>
      <c r="D1075" s="20" t="s">
        <v>215</v>
      </c>
      <c r="E1075" s="20" t="s">
        <v>990</v>
      </c>
      <c r="F1075" s="20"/>
      <c r="G1075" s="397">
        <f>G1076+G1078</f>
        <v>1240.4000000000001</v>
      </c>
      <c r="H1075" s="397">
        <f>H1076+H1078</f>
        <v>1240.4000000000001</v>
      </c>
      <c r="I1075" s="192"/>
    </row>
    <row r="1076" spans="1:9" ht="78.75" x14ac:dyDescent="0.25">
      <c r="A1076" s="396" t="s">
        <v>127</v>
      </c>
      <c r="B1076" s="16">
        <v>910</v>
      </c>
      <c r="C1076" s="20" t="s">
        <v>118</v>
      </c>
      <c r="D1076" s="20" t="s">
        <v>215</v>
      </c>
      <c r="E1076" s="20" t="s">
        <v>990</v>
      </c>
      <c r="F1076" s="20" t="s">
        <v>128</v>
      </c>
      <c r="G1076" s="397">
        <f>G1077</f>
        <v>1240.4000000000001</v>
      </c>
      <c r="H1076" s="397">
        <f>H1077</f>
        <v>1240.4000000000001</v>
      </c>
      <c r="I1076" s="192"/>
    </row>
    <row r="1077" spans="1:9" ht="31.5" x14ac:dyDescent="0.25">
      <c r="A1077" s="396" t="s">
        <v>129</v>
      </c>
      <c r="B1077" s="16">
        <v>910</v>
      </c>
      <c r="C1077" s="20" t="s">
        <v>118</v>
      </c>
      <c r="D1077" s="20" t="s">
        <v>215</v>
      </c>
      <c r="E1077" s="20" t="s">
        <v>990</v>
      </c>
      <c r="F1077" s="20" t="s">
        <v>130</v>
      </c>
      <c r="G1077" s="397">
        <v>1240.4000000000001</v>
      </c>
      <c r="H1077" s="397">
        <f t="shared" si="95"/>
        <v>1240.4000000000001</v>
      </c>
      <c r="I1077" s="192"/>
    </row>
    <row r="1078" spans="1:9" ht="31.5" hidden="1" x14ac:dyDescent="0.25">
      <c r="A1078" s="396" t="s">
        <v>198</v>
      </c>
      <c r="B1078" s="16">
        <v>910</v>
      </c>
      <c r="C1078" s="20" t="s">
        <v>118</v>
      </c>
      <c r="D1078" s="20" t="s">
        <v>215</v>
      </c>
      <c r="E1078" s="20" t="s">
        <v>990</v>
      </c>
      <c r="F1078" s="20" t="s">
        <v>132</v>
      </c>
      <c r="G1078" s="397">
        <f>G1079</f>
        <v>0</v>
      </c>
      <c r="H1078" s="397">
        <f>H1079</f>
        <v>0</v>
      </c>
      <c r="I1078" s="192"/>
    </row>
    <row r="1079" spans="1:9" ht="31.5" hidden="1" x14ac:dyDescent="0.25">
      <c r="A1079" s="396" t="s">
        <v>133</v>
      </c>
      <c r="B1079" s="16">
        <v>910</v>
      </c>
      <c r="C1079" s="20" t="s">
        <v>118</v>
      </c>
      <c r="D1079" s="20" t="s">
        <v>215</v>
      </c>
      <c r="E1079" s="20" t="s">
        <v>990</v>
      </c>
      <c r="F1079" s="20" t="s">
        <v>134</v>
      </c>
      <c r="G1079" s="397">
        <v>0</v>
      </c>
      <c r="H1079" s="397">
        <f t="shared" si="95"/>
        <v>0</v>
      </c>
      <c r="I1079" s="192"/>
    </row>
    <row r="1080" spans="1:9" ht="47.25" hidden="1" x14ac:dyDescent="0.25">
      <c r="A1080" s="396" t="s">
        <v>838</v>
      </c>
      <c r="B1080" s="16">
        <v>910</v>
      </c>
      <c r="C1080" s="20" t="s">
        <v>118</v>
      </c>
      <c r="D1080" s="20" t="s">
        <v>215</v>
      </c>
      <c r="E1080" s="20" t="s">
        <v>988</v>
      </c>
      <c r="F1080" s="20"/>
      <c r="G1080" s="397">
        <f>G1081</f>
        <v>0</v>
      </c>
      <c r="H1080" s="397">
        <f t="shared" si="95"/>
        <v>0</v>
      </c>
      <c r="I1080" s="192"/>
    </row>
    <row r="1081" spans="1:9" ht="78.75" hidden="1" x14ac:dyDescent="0.25">
      <c r="A1081" s="396" t="s">
        <v>127</v>
      </c>
      <c r="B1081" s="16">
        <v>910</v>
      </c>
      <c r="C1081" s="20" t="s">
        <v>118</v>
      </c>
      <c r="D1081" s="20" t="s">
        <v>215</v>
      </c>
      <c r="E1081" s="20" t="s">
        <v>988</v>
      </c>
      <c r="F1081" s="20" t="s">
        <v>128</v>
      </c>
      <c r="G1081" s="397">
        <f>G1082</f>
        <v>0</v>
      </c>
      <c r="H1081" s="397">
        <f t="shared" si="95"/>
        <v>0</v>
      </c>
      <c r="I1081" s="192"/>
    </row>
    <row r="1082" spans="1:9" ht="31.5" hidden="1" x14ac:dyDescent="0.25">
      <c r="A1082" s="396" t="s">
        <v>129</v>
      </c>
      <c r="B1082" s="16">
        <v>910</v>
      </c>
      <c r="C1082" s="20" t="s">
        <v>118</v>
      </c>
      <c r="D1082" s="20" t="s">
        <v>215</v>
      </c>
      <c r="E1082" s="20" t="s">
        <v>988</v>
      </c>
      <c r="F1082" s="20" t="s">
        <v>130</v>
      </c>
      <c r="G1082" s="397">
        <v>0</v>
      </c>
      <c r="H1082" s="397">
        <f t="shared" si="95"/>
        <v>0</v>
      </c>
      <c r="I1082" s="192"/>
    </row>
    <row r="1083" spans="1:9" ht="47.25" x14ac:dyDescent="0.25">
      <c r="A1083" s="394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393">
        <f>G1084</f>
        <v>1798.5</v>
      </c>
      <c r="H1083" s="393">
        <f>H1084</f>
        <v>1798.5</v>
      </c>
      <c r="I1083" s="192"/>
    </row>
    <row r="1084" spans="1:9" ht="31.5" x14ac:dyDescent="0.25">
      <c r="A1084" s="394" t="s">
        <v>916</v>
      </c>
      <c r="B1084" s="19">
        <v>910</v>
      </c>
      <c r="C1084" s="24" t="s">
        <v>118</v>
      </c>
      <c r="D1084" s="24" t="s">
        <v>120</v>
      </c>
      <c r="E1084" s="24" t="s">
        <v>857</v>
      </c>
      <c r="F1084" s="24"/>
      <c r="G1084" s="393">
        <f>G1085</f>
        <v>1798.5</v>
      </c>
      <c r="H1084" s="393">
        <f>H1085</f>
        <v>1798.5</v>
      </c>
      <c r="I1084" s="192"/>
    </row>
    <row r="1085" spans="1:9" ht="31.5" x14ac:dyDescent="0.25">
      <c r="A1085" s="394" t="s">
        <v>985</v>
      </c>
      <c r="B1085" s="19">
        <v>910</v>
      </c>
      <c r="C1085" s="24" t="s">
        <v>118</v>
      </c>
      <c r="D1085" s="24" t="s">
        <v>120</v>
      </c>
      <c r="E1085" s="24" t="s">
        <v>986</v>
      </c>
      <c r="F1085" s="24"/>
      <c r="G1085" s="393">
        <f>G1086+G1091</f>
        <v>1798.5</v>
      </c>
      <c r="H1085" s="393">
        <f>H1086+H1091</f>
        <v>1798.5</v>
      </c>
      <c r="I1085" s="192"/>
    </row>
    <row r="1086" spans="1:9" ht="31.5" x14ac:dyDescent="0.25">
      <c r="A1086" s="396" t="s">
        <v>896</v>
      </c>
      <c r="B1086" s="16">
        <v>910</v>
      </c>
      <c r="C1086" s="20" t="s">
        <v>118</v>
      </c>
      <c r="D1086" s="20" t="s">
        <v>120</v>
      </c>
      <c r="E1086" s="20" t="s">
        <v>990</v>
      </c>
      <c r="F1086" s="20"/>
      <c r="G1086" s="397">
        <f>G1087+G1089</f>
        <v>1752.5</v>
      </c>
      <c r="H1086" s="397">
        <f>H1087+H1089</f>
        <v>1752.5</v>
      </c>
      <c r="I1086" s="192"/>
    </row>
    <row r="1087" spans="1:9" ht="78.75" x14ac:dyDescent="0.25">
      <c r="A1087" s="396" t="s">
        <v>127</v>
      </c>
      <c r="B1087" s="16">
        <v>910</v>
      </c>
      <c r="C1087" s="20" t="s">
        <v>118</v>
      </c>
      <c r="D1087" s="20" t="s">
        <v>120</v>
      </c>
      <c r="E1087" s="20" t="s">
        <v>990</v>
      </c>
      <c r="F1087" s="20" t="s">
        <v>128</v>
      </c>
      <c r="G1087" s="397">
        <f>G1088</f>
        <v>1734.5</v>
      </c>
      <c r="H1087" s="397">
        <f>H1088</f>
        <v>1734.5</v>
      </c>
      <c r="I1087" s="192"/>
    </row>
    <row r="1088" spans="1:9" ht="31.5" x14ac:dyDescent="0.25">
      <c r="A1088" s="396" t="s">
        <v>129</v>
      </c>
      <c r="B1088" s="16">
        <v>910</v>
      </c>
      <c r="C1088" s="20" t="s">
        <v>118</v>
      </c>
      <c r="D1088" s="20" t="s">
        <v>120</v>
      </c>
      <c r="E1088" s="20" t="s">
        <v>990</v>
      </c>
      <c r="F1088" s="20" t="s">
        <v>130</v>
      </c>
      <c r="G1088" s="397">
        <v>1734.5</v>
      </c>
      <c r="H1088" s="397">
        <f t="shared" si="95"/>
        <v>1734.5</v>
      </c>
      <c r="I1088" s="192"/>
    </row>
    <row r="1089" spans="1:41" ht="31.5" x14ac:dyDescent="0.25">
      <c r="A1089" s="396" t="s">
        <v>198</v>
      </c>
      <c r="B1089" s="16">
        <v>910</v>
      </c>
      <c r="C1089" s="20" t="s">
        <v>118</v>
      </c>
      <c r="D1089" s="20" t="s">
        <v>120</v>
      </c>
      <c r="E1089" s="20" t="s">
        <v>990</v>
      </c>
      <c r="F1089" s="20" t="s">
        <v>132</v>
      </c>
      <c r="G1089" s="397">
        <f>G1090</f>
        <v>18</v>
      </c>
      <c r="H1089" s="397">
        <f>H1090</f>
        <v>18</v>
      </c>
      <c r="I1089" s="192"/>
    </row>
    <row r="1090" spans="1:41" ht="34.700000000000003" customHeight="1" x14ac:dyDescent="0.25">
      <c r="A1090" s="396" t="s">
        <v>133</v>
      </c>
      <c r="B1090" s="16">
        <v>910</v>
      </c>
      <c r="C1090" s="20" t="s">
        <v>118</v>
      </c>
      <c r="D1090" s="20" t="s">
        <v>120</v>
      </c>
      <c r="E1090" s="20" t="s">
        <v>990</v>
      </c>
      <c r="F1090" s="20" t="s">
        <v>134</v>
      </c>
      <c r="G1090" s="397">
        <f>18</f>
        <v>18</v>
      </c>
      <c r="H1090" s="397">
        <f t="shared" si="95"/>
        <v>18</v>
      </c>
      <c r="I1090" s="192"/>
    </row>
    <row r="1091" spans="1:41" ht="47.25" x14ac:dyDescent="0.25">
      <c r="A1091" s="396" t="s">
        <v>838</v>
      </c>
      <c r="B1091" s="16">
        <v>910</v>
      </c>
      <c r="C1091" s="20" t="s">
        <v>118</v>
      </c>
      <c r="D1091" s="20" t="s">
        <v>120</v>
      </c>
      <c r="E1091" s="20" t="s">
        <v>988</v>
      </c>
      <c r="F1091" s="20"/>
      <c r="G1091" s="397">
        <f>G1092</f>
        <v>46</v>
      </c>
      <c r="H1091" s="397">
        <f>H1092</f>
        <v>46</v>
      </c>
      <c r="I1091" s="192"/>
    </row>
    <row r="1092" spans="1:41" ht="78.75" x14ac:dyDescent="0.25">
      <c r="A1092" s="396" t="s">
        <v>127</v>
      </c>
      <c r="B1092" s="16">
        <v>910</v>
      </c>
      <c r="C1092" s="20" t="s">
        <v>118</v>
      </c>
      <c r="D1092" s="20" t="s">
        <v>120</v>
      </c>
      <c r="E1092" s="20" t="s">
        <v>988</v>
      </c>
      <c r="F1092" s="20" t="s">
        <v>128</v>
      </c>
      <c r="G1092" s="397">
        <f>G1093</f>
        <v>46</v>
      </c>
      <c r="H1092" s="397">
        <f>H1093</f>
        <v>46</v>
      </c>
      <c r="I1092" s="192"/>
    </row>
    <row r="1093" spans="1:41" ht="31.5" x14ac:dyDescent="0.25">
      <c r="A1093" s="396" t="s">
        <v>129</v>
      </c>
      <c r="B1093" s="16">
        <v>910</v>
      </c>
      <c r="C1093" s="20" t="s">
        <v>118</v>
      </c>
      <c r="D1093" s="20" t="s">
        <v>120</v>
      </c>
      <c r="E1093" s="20" t="s">
        <v>988</v>
      </c>
      <c r="F1093" s="20" t="s">
        <v>130</v>
      </c>
      <c r="G1093" s="397">
        <v>46</v>
      </c>
      <c r="H1093" s="397">
        <f t="shared" si="95"/>
        <v>46</v>
      </c>
      <c r="I1093" s="192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338">
        <f>G1046+G831+G756+G537+G488+G242+G31+G10+G9</f>
        <v>729560.80602499994</v>
      </c>
      <c r="H1094" s="338">
        <f>H1046+H831+H756+H537+H488+H242+H31+H10+H9</f>
        <v>776239.04999999993</v>
      </c>
      <c r="I1094" s="192"/>
      <c r="N1094" s="567" t="s">
        <v>1528</v>
      </c>
      <c r="O1094" s="567"/>
      <c r="P1094" s="567"/>
      <c r="Q1094" s="567"/>
      <c r="R1094" s="567"/>
      <c r="S1094" s="567"/>
      <c r="T1094" s="567"/>
      <c r="U1094" s="567"/>
      <c r="V1094" s="567"/>
      <c r="W1094" s="567"/>
      <c r="X1094" s="567" t="s">
        <v>1529</v>
      </c>
      <c r="Y1094" s="567"/>
      <c r="Z1094" s="567"/>
      <c r="AA1094" s="567"/>
      <c r="AB1094" s="567"/>
      <c r="AC1094" s="567"/>
      <c r="AD1094" s="567"/>
      <c r="AE1094" s="567"/>
      <c r="AF1094" s="567"/>
      <c r="AG1094" s="567"/>
      <c r="AH1094" s="365"/>
      <c r="AI1094" s="365"/>
      <c r="AJ1094" s="365"/>
    </row>
    <row r="1095" spans="1:41" ht="48" hidden="1" x14ac:dyDescent="0.25">
      <c r="A1095" s="50"/>
      <c r="B1095" s="50"/>
      <c r="C1095" s="50"/>
      <c r="D1095" s="50"/>
      <c r="E1095" s="305">
        <f>G1096-G1095</f>
        <v>491093.68548594601</v>
      </c>
      <c r="F1095" s="50"/>
      <c r="G1095" s="343">
        <f>'Пр.1. дох.21'!C155</f>
        <v>1334.3</v>
      </c>
      <c r="H1095" s="343">
        <f>'Пр.1. дох.21'!D155</f>
        <v>1334.3</v>
      </c>
      <c r="L1095" s="214">
        <f>H1096-H1095</f>
        <v>505368.69891089096</v>
      </c>
      <c r="M1095" s="192"/>
      <c r="N1095" s="286" t="s">
        <v>1278</v>
      </c>
      <c r="O1095" s="286" t="s">
        <v>1279</v>
      </c>
      <c r="P1095" s="286" t="s">
        <v>1280</v>
      </c>
      <c r="Q1095" s="286" t="s">
        <v>1281</v>
      </c>
      <c r="R1095" s="286" t="s">
        <v>1331</v>
      </c>
      <c r="S1095" s="286" t="s">
        <v>1409</v>
      </c>
      <c r="T1095" s="286" t="s">
        <v>1458</v>
      </c>
      <c r="U1095" s="286" t="s">
        <v>1459</v>
      </c>
      <c r="V1095" s="286" t="s">
        <v>1460</v>
      </c>
      <c r="W1095" s="286" t="s">
        <v>1464</v>
      </c>
      <c r="X1095" s="363" t="s">
        <v>1278</v>
      </c>
      <c r="Y1095" s="363" t="s">
        <v>1279</v>
      </c>
      <c r="Z1095" s="363" t="s">
        <v>1280</v>
      </c>
      <c r="AA1095" s="363" t="s">
        <v>1281</v>
      </c>
      <c r="AB1095" s="363" t="s">
        <v>1331</v>
      </c>
      <c r="AC1095" s="363" t="s">
        <v>1409</v>
      </c>
      <c r="AD1095" s="363" t="s">
        <v>1458</v>
      </c>
      <c r="AE1095" s="363" t="s">
        <v>1459</v>
      </c>
      <c r="AF1095" s="363" t="s">
        <v>1460</v>
      </c>
      <c r="AG1095" s="363" t="s">
        <v>1464</v>
      </c>
    </row>
    <row r="1096" spans="1:41" ht="18.75" hidden="1" x14ac:dyDescent="0.3">
      <c r="A1096" s="50"/>
      <c r="B1096" s="50"/>
      <c r="C1096" s="51"/>
      <c r="D1096" s="51"/>
      <c r="E1096" s="51"/>
      <c r="F1096" s="101" t="s">
        <v>588</v>
      </c>
      <c r="G1096" s="339">
        <f>G1094-G1097</f>
        <v>492427.985485946</v>
      </c>
      <c r="H1096" s="339">
        <f>H1094-H1097</f>
        <v>506702.99891089095</v>
      </c>
      <c r="L1096" s="192"/>
      <c r="M1096" s="283" t="s">
        <v>588</v>
      </c>
      <c r="N1096" s="285">
        <v>500</v>
      </c>
      <c r="O1096" s="285">
        <v>0</v>
      </c>
      <c r="P1096" s="285">
        <f>300</f>
        <v>300</v>
      </c>
      <c r="Q1096" s="299">
        <f>Q1097*100/90.9-Q1097</f>
        <v>26.809460946094589</v>
      </c>
      <c r="R1096" s="285">
        <v>0</v>
      </c>
      <c r="S1096" s="285">
        <v>222.05</v>
      </c>
      <c r="T1096" s="285"/>
      <c r="U1096" s="366"/>
      <c r="V1096" s="366">
        <v>0</v>
      </c>
      <c r="W1096" s="299">
        <v>71.75</v>
      </c>
      <c r="X1096" s="364">
        <v>500</v>
      </c>
      <c r="Y1096" s="364">
        <v>0</v>
      </c>
      <c r="Z1096" s="364">
        <v>1500</v>
      </c>
      <c r="AA1096" s="367">
        <f>AA1097*100/90.9-AA1097</f>
        <v>26.308910891089056</v>
      </c>
      <c r="AB1096" s="364">
        <v>0</v>
      </c>
      <c r="AC1096" s="367">
        <v>210.85</v>
      </c>
      <c r="AD1096" s="364"/>
      <c r="AE1096" s="368"/>
      <c r="AF1096" s="368"/>
      <c r="AG1096" s="367">
        <v>96</v>
      </c>
    </row>
    <row r="1097" spans="1:41" ht="18.75" hidden="1" x14ac:dyDescent="0.3">
      <c r="A1097" s="50"/>
      <c r="B1097" s="50"/>
      <c r="C1097" s="51"/>
      <c r="D1097" s="51"/>
      <c r="E1097" s="51"/>
      <c r="F1097" s="101" t="s">
        <v>589</v>
      </c>
      <c r="G1097" s="339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237132.82053905394</v>
      </c>
      <c r="H1097" s="339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269536.05108910898</v>
      </c>
      <c r="I1097" s="194">
        <v>267446.40000000002</v>
      </c>
      <c r="J1097">
        <v>260319.2</v>
      </c>
      <c r="L1097" s="192"/>
      <c r="M1097" s="284" t="s">
        <v>1463</v>
      </c>
      <c r="N1097" s="285">
        <v>0</v>
      </c>
      <c r="O1097" s="285">
        <v>0</v>
      </c>
      <c r="P1097" s="285">
        <v>0</v>
      </c>
      <c r="Q1097" s="285">
        <f>238.3+29.5</f>
        <v>267.8</v>
      </c>
      <c r="R1097" s="285">
        <v>0</v>
      </c>
      <c r="S1097" s="285">
        <f>4622.3+571.3</f>
        <v>5193.6000000000004</v>
      </c>
      <c r="T1097" s="366"/>
      <c r="U1097" s="366"/>
      <c r="V1097" s="366">
        <v>0</v>
      </c>
      <c r="W1097" s="285">
        <f>1644.1+33.6</f>
        <v>1677.6999999999998</v>
      </c>
      <c r="X1097" s="364">
        <v>0</v>
      </c>
      <c r="Y1097" s="364">
        <v>0</v>
      </c>
      <c r="Z1097" s="364">
        <v>1306.2</v>
      </c>
      <c r="AA1097" s="364">
        <f>233.9+28.9</f>
        <v>262.8</v>
      </c>
      <c r="AB1097" s="364">
        <v>0</v>
      </c>
      <c r="AC1097" s="364">
        <f>4389.1+542.5</f>
        <v>4931.6000000000004</v>
      </c>
      <c r="AD1097" s="368">
        <f>[2]пр.1дох.21!M67</f>
        <v>0</v>
      </c>
      <c r="AE1097" s="368"/>
      <c r="AF1097" s="368"/>
      <c r="AG1097" s="364">
        <f>2200+45</f>
        <v>2245</v>
      </c>
    </row>
    <row r="1098" spans="1:41" ht="15.75" hidden="1" x14ac:dyDescent="0.25">
      <c r="A1098" s="50"/>
      <c r="B1098" s="50"/>
      <c r="C1098" s="51"/>
      <c r="D1098" s="53"/>
      <c r="E1098" s="53"/>
      <c r="F1098" s="53"/>
      <c r="G1098" s="344">
        <f>'Пр.1. дох.21'!C154</f>
        <v>900</v>
      </c>
      <c r="H1098" s="344">
        <f>'Пр.1. дох.21'!D154</f>
        <v>807.88</v>
      </c>
      <c r="I1098" s="216">
        <f>I1097-G1097</f>
        <v>30313.579460946086</v>
      </c>
      <c r="J1098" s="216">
        <f>J1097-H1097</f>
        <v>-9216.8510891089682</v>
      </c>
      <c r="L1098" s="214"/>
      <c r="M1098" s="214"/>
      <c r="N1098" s="369" t="s">
        <v>1283</v>
      </c>
      <c r="O1098" s="369" t="s">
        <v>1284</v>
      </c>
      <c r="P1098" s="369" t="s">
        <v>1285</v>
      </c>
      <c r="Q1098" s="369" t="s">
        <v>1286</v>
      </c>
      <c r="R1098" s="369" t="s">
        <v>1285</v>
      </c>
      <c r="S1098" s="369" t="s">
        <v>1408</v>
      </c>
      <c r="T1098" s="369" t="s">
        <v>1408</v>
      </c>
      <c r="U1098" s="298" t="s">
        <v>1408</v>
      </c>
      <c r="V1098" s="369" t="s">
        <v>1461</v>
      </c>
      <c r="W1098" s="369" t="s">
        <v>1408</v>
      </c>
      <c r="X1098" s="369" t="s">
        <v>1283</v>
      </c>
      <c r="Y1098" s="369" t="s">
        <v>1284</v>
      </c>
      <c r="Z1098" s="369" t="s">
        <v>1285</v>
      </c>
      <c r="AA1098" s="369" t="s">
        <v>1286</v>
      </c>
      <c r="AB1098" s="369" t="s">
        <v>1285</v>
      </c>
      <c r="AC1098" s="369" t="s">
        <v>1408</v>
      </c>
      <c r="AD1098" s="369" t="s">
        <v>1408</v>
      </c>
      <c r="AE1098" s="298" t="s">
        <v>1408</v>
      </c>
      <c r="AF1098" s="369" t="s">
        <v>1461</v>
      </c>
      <c r="AG1098" s="369" t="s">
        <v>1408</v>
      </c>
    </row>
    <row r="1099" spans="1:41" ht="15.75" hidden="1" x14ac:dyDescent="0.25">
      <c r="A1099" s="50"/>
      <c r="B1099" s="50"/>
      <c r="C1099" s="51"/>
      <c r="D1099" s="53"/>
      <c r="E1099" s="53"/>
      <c r="F1099" s="53"/>
      <c r="G1099" s="344">
        <f>G1097-G1098</f>
        <v>236232.82053905394</v>
      </c>
      <c r="H1099" s="344">
        <f>H1097-H1098</f>
        <v>268728.17108910898</v>
      </c>
    </row>
    <row r="1100" spans="1:41" ht="15.75" hidden="1" x14ac:dyDescent="0.25">
      <c r="A1100" s="50"/>
      <c r="B1100" s="50"/>
      <c r="C1100" s="51"/>
      <c r="D1100" s="53"/>
      <c r="E1100" s="53"/>
      <c r="F1100" s="342" t="s">
        <v>674</v>
      </c>
      <c r="G1100" s="344">
        <f>'Пр.1. дох.21'!C153-'пр.2.1. рдпр 22-23'!D51</f>
        <v>-729219.40602499992</v>
      </c>
      <c r="H1100" s="344" t="e">
        <f>'Пр.1. дох.21'!D153-'пр.2.1. рдпр 22-23'!E51</f>
        <v>#REF!</v>
      </c>
    </row>
    <row r="1101" spans="1:41" s="191" customFormat="1" ht="15.75" hidden="1" x14ac:dyDescent="0.25">
      <c r="A1101" s="50"/>
      <c r="B1101" s="50"/>
      <c r="C1101" s="51"/>
      <c r="D1101" s="53"/>
      <c r="E1101" s="53"/>
      <c r="F1101" s="53"/>
      <c r="G1101" s="102"/>
      <c r="H1101" s="102"/>
      <c r="M1101" s="192"/>
      <c r="N1101" s="560" t="s">
        <v>1530</v>
      </c>
      <c r="O1101" s="561"/>
      <c r="P1101" s="561"/>
      <c r="Q1101" s="561"/>
      <c r="R1101" s="561"/>
      <c r="S1101" s="561"/>
      <c r="T1101" s="561"/>
      <c r="U1101" s="561"/>
      <c r="V1101" s="561"/>
      <c r="W1101" s="561"/>
      <c r="X1101" s="561"/>
      <c r="Y1101" s="561"/>
      <c r="Z1101" s="561"/>
      <c r="AA1101" s="562"/>
      <c r="AB1101" s="568" t="s">
        <v>1531</v>
      </c>
      <c r="AC1101" s="568"/>
      <c r="AD1101" s="568"/>
      <c r="AE1101" s="568"/>
      <c r="AF1101" s="568"/>
      <c r="AG1101" s="568"/>
      <c r="AH1101" s="568"/>
      <c r="AI1101" s="568"/>
      <c r="AJ1101" s="568"/>
      <c r="AK1101" s="568"/>
      <c r="AL1101" s="568"/>
      <c r="AM1101" s="568"/>
      <c r="AN1101" s="568"/>
      <c r="AO1101" s="568"/>
    </row>
    <row r="1102" spans="1:41" ht="72" hidden="1" x14ac:dyDescent="0.25">
      <c r="A1102" s="50"/>
      <c r="B1102" s="50"/>
      <c r="E1102" s="54">
        <v>1</v>
      </c>
      <c r="F1102" s="53"/>
      <c r="G1102" s="102">
        <f>G10+G32+G243+G489+G538+G832+G1047+G757</f>
        <v>136787.32</v>
      </c>
      <c r="H1102" s="102">
        <f>H10+H32+H243+H489+H538+H832+H1047+H757</f>
        <v>123941.67000000001</v>
      </c>
      <c r="M1102" s="192"/>
      <c r="N1102" s="303" t="s">
        <v>1466</v>
      </c>
      <c r="O1102" s="303" t="s">
        <v>1467</v>
      </c>
      <c r="P1102" s="303" t="s">
        <v>1469</v>
      </c>
      <c r="Q1102" s="303" t="s">
        <v>1470</v>
      </c>
      <c r="R1102" s="303" t="s">
        <v>1471</v>
      </c>
      <c r="S1102" s="303" t="s">
        <v>1472</v>
      </c>
      <c r="T1102" s="303" t="s">
        <v>1475</v>
      </c>
      <c r="U1102" s="303" t="s">
        <v>1477</v>
      </c>
      <c r="V1102" s="303" t="s">
        <v>1481</v>
      </c>
      <c r="W1102" s="303" t="s">
        <v>1482</v>
      </c>
      <c r="X1102" s="303" t="s">
        <v>1488</v>
      </c>
      <c r="Y1102" s="358" t="s">
        <v>1524</v>
      </c>
      <c r="Z1102" s="358" t="s">
        <v>1532</v>
      </c>
      <c r="AA1102" s="358" t="s">
        <v>1533</v>
      </c>
      <c r="AB1102" s="306" t="s">
        <v>1466</v>
      </c>
      <c r="AC1102" s="306" t="s">
        <v>1467</v>
      </c>
      <c r="AD1102" s="306" t="s">
        <v>1469</v>
      </c>
      <c r="AE1102" s="306" t="s">
        <v>1470</v>
      </c>
      <c r="AF1102" s="306" t="s">
        <v>1471</v>
      </c>
      <c r="AG1102" s="306" t="s">
        <v>1472</v>
      </c>
      <c r="AH1102" s="306" t="s">
        <v>1475</v>
      </c>
      <c r="AI1102" s="306" t="s">
        <v>1477</v>
      </c>
      <c r="AJ1102" s="306" t="s">
        <v>1481</v>
      </c>
      <c r="AK1102" s="306" t="s">
        <v>1482</v>
      </c>
      <c r="AL1102" s="306" t="s">
        <v>1488</v>
      </c>
      <c r="AM1102" s="306" t="s">
        <v>1524</v>
      </c>
      <c r="AN1102" s="306" t="s">
        <v>1532</v>
      </c>
      <c r="AO1102" s="306" t="s">
        <v>1533</v>
      </c>
    </row>
    <row r="1103" spans="1:41" ht="15.75" hidden="1" x14ac:dyDescent="0.25">
      <c r="A1103" s="50"/>
      <c r="B1103" s="50"/>
      <c r="E1103" s="54" t="s">
        <v>588</v>
      </c>
      <c r="F1103" s="53"/>
      <c r="G1103" s="102">
        <f>G1102-G1104</f>
        <v>133416.5</v>
      </c>
      <c r="H1103" s="102">
        <f>H1102-H1104</f>
        <v>120786.32</v>
      </c>
      <c r="M1103" s="281" t="s">
        <v>588</v>
      </c>
      <c r="N1103" s="304">
        <v>3.5</v>
      </c>
      <c r="O1103" s="304">
        <v>3584</v>
      </c>
      <c r="P1103" s="304">
        <v>2200</v>
      </c>
      <c r="Q1103" s="304">
        <v>0</v>
      </c>
      <c r="R1103" s="304">
        <v>868</v>
      </c>
      <c r="S1103" s="304">
        <v>124.4</v>
      </c>
      <c r="T1103" s="304">
        <v>0</v>
      </c>
      <c r="U1103" s="304">
        <v>678</v>
      </c>
      <c r="V1103" s="304">
        <v>19</v>
      </c>
      <c r="W1103" s="304">
        <v>1</v>
      </c>
      <c r="X1103" s="304">
        <v>60</v>
      </c>
      <c r="Y1103" s="304">
        <v>10</v>
      </c>
      <c r="Z1103" s="304">
        <v>150</v>
      </c>
      <c r="AA1103" s="304">
        <v>200</v>
      </c>
      <c r="AB1103" s="307">
        <v>3.5</v>
      </c>
      <c r="AC1103" s="307">
        <v>3584</v>
      </c>
      <c r="AD1103" s="307">
        <v>2200</v>
      </c>
      <c r="AE1103" s="307">
        <v>0</v>
      </c>
      <c r="AF1103" s="307">
        <v>868</v>
      </c>
      <c r="AG1103" s="307">
        <v>124.4</v>
      </c>
      <c r="AH1103" s="307">
        <v>0</v>
      </c>
      <c r="AI1103" s="307">
        <v>678</v>
      </c>
      <c r="AJ1103" s="307">
        <v>19</v>
      </c>
      <c r="AK1103" s="307">
        <v>1</v>
      </c>
      <c r="AL1103" s="307">
        <v>60</v>
      </c>
      <c r="AM1103" s="307">
        <v>10</v>
      </c>
      <c r="AN1103" s="307">
        <v>150</v>
      </c>
      <c r="AO1103" s="307">
        <v>500</v>
      </c>
    </row>
    <row r="1104" spans="1:41" ht="15.75" hidden="1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3370.8199999999997</v>
      </c>
      <c r="H1104" s="102">
        <f>H1064+H517+H110+H70+H503-Y1096+H105+H51-AK1103-AO1103+H248+H107+H46</f>
        <v>3155.3500000000004</v>
      </c>
      <c r="M1104" s="282" t="s">
        <v>589</v>
      </c>
      <c r="N1104" s="304">
        <v>65.2</v>
      </c>
      <c r="O1104" s="304">
        <v>2161.1</v>
      </c>
      <c r="P1104" s="304">
        <v>1731.8</v>
      </c>
      <c r="Q1104" s="304">
        <v>0</v>
      </c>
      <c r="R1104" s="304">
        <v>516.6</v>
      </c>
      <c r="S1104" s="304">
        <v>173.3</v>
      </c>
      <c r="T1104" s="304">
        <v>1666.6</v>
      </c>
      <c r="U1104" s="304">
        <v>77.8</v>
      </c>
      <c r="V1104" s="304">
        <v>255</v>
      </c>
      <c r="W1104" s="304">
        <v>40</v>
      </c>
      <c r="X1104" s="304">
        <v>200</v>
      </c>
      <c r="Y1104" s="304">
        <v>0</v>
      </c>
      <c r="Z1104" s="304">
        <v>0</v>
      </c>
      <c r="AA1104" s="304">
        <v>0</v>
      </c>
      <c r="AB1104" s="307">
        <v>65.2</v>
      </c>
      <c r="AC1104" s="307">
        <v>2161.1</v>
      </c>
      <c r="AD1104" s="307">
        <v>1665.2</v>
      </c>
      <c r="AE1104" s="307">
        <v>0</v>
      </c>
      <c r="AF1104" s="307">
        <v>516.6</v>
      </c>
      <c r="AG1104" s="307">
        <v>173.3</v>
      </c>
      <c r="AH1104" s="307">
        <v>915</v>
      </c>
      <c r="AI1104" s="307">
        <v>81</v>
      </c>
      <c r="AJ1104" s="307">
        <v>255</v>
      </c>
      <c r="AK1104" s="307">
        <v>40</v>
      </c>
      <c r="AL1104" s="307">
        <v>200</v>
      </c>
      <c r="AM1104" s="307">
        <v>0</v>
      </c>
      <c r="AN1104" s="307">
        <v>0</v>
      </c>
      <c r="AO1104" s="307">
        <v>0</v>
      </c>
    </row>
    <row r="1105" spans="1:41" ht="15.75" hidden="1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14"/>
      <c r="N1105" s="369" t="s">
        <v>1285</v>
      </c>
      <c r="O1105" s="369" t="s">
        <v>1468</v>
      </c>
      <c r="P1105" s="369" t="s">
        <v>1408</v>
      </c>
      <c r="Q1105" s="369" t="s">
        <v>1408</v>
      </c>
      <c r="R1105" s="369" t="s">
        <v>1408</v>
      </c>
      <c r="S1105" s="369" t="s">
        <v>1473</v>
      </c>
      <c r="T1105" s="369" t="s">
        <v>1476</v>
      </c>
      <c r="U1105" s="369" t="s">
        <v>1408</v>
      </c>
      <c r="V1105" s="369" t="s">
        <v>1483</v>
      </c>
      <c r="W1105" s="369" t="s">
        <v>1484</v>
      </c>
      <c r="X1105" s="369" t="s">
        <v>1487</v>
      </c>
      <c r="Y1105" s="369" t="s">
        <v>1286</v>
      </c>
      <c r="Z1105" s="369" t="s">
        <v>1487</v>
      </c>
      <c r="AA1105" s="369" t="s">
        <v>1284</v>
      </c>
      <c r="AB1105" s="359" t="s">
        <v>1285</v>
      </c>
      <c r="AC1105" s="369" t="s">
        <v>1468</v>
      </c>
      <c r="AD1105" s="369" t="s">
        <v>1408</v>
      </c>
      <c r="AE1105" s="359" t="s">
        <v>1408</v>
      </c>
      <c r="AF1105" s="359" t="s">
        <v>1408</v>
      </c>
      <c r="AG1105" s="369" t="s">
        <v>1473</v>
      </c>
      <c r="AH1105" s="359" t="s">
        <v>1473</v>
      </c>
      <c r="AI1105" s="359" t="s">
        <v>1408</v>
      </c>
      <c r="AJ1105" s="359" t="s">
        <v>1483</v>
      </c>
      <c r="AK1105" s="359" t="s">
        <v>1484</v>
      </c>
      <c r="AL1105" s="359" t="s">
        <v>1487</v>
      </c>
      <c r="AM1105" s="369" t="s">
        <v>1286</v>
      </c>
      <c r="AN1105" s="369" t="s">
        <v>1487</v>
      </c>
      <c r="AO1105" s="369" t="s">
        <v>1284</v>
      </c>
    </row>
    <row r="1106" spans="1:41" ht="15.75" hidden="1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hidden="1" x14ac:dyDescent="0.25">
      <c r="A1107" s="50"/>
      <c r="B1107" s="50"/>
      <c r="E1107" s="54">
        <v>4</v>
      </c>
      <c r="F1107" s="53"/>
      <c r="G1107" s="102">
        <f>G191+G853+G273</f>
        <v>6333.8</v>
      </c>
      <c r="H1107" s="102">
        <f>H191+H853+H273</f>
        <v>6165.9000000000005</v>
      </c>
    </row>
    <row r="1108" spans="1:41" ht="15.75" hidden="1" x14ac:dyDescent="0.25">
      <c r="A1108" s="50"/>
      <c r="B1108" s="50"/>
      <c r="E1108" s="54" t="s">
        <v>588</v>
      </c>
      <c r="F1108" s="53"/>
      <c r="G1108" s="102">
        <f>G1107-G1109</f>
        <v>5614.6</v>
      </c>
      <c r="H1108" s="102">
        <f>H1107-H1109</f>
        <v>5436.1</v>
      </c>
    </row>
    <row r="1109" spans="1:41" ht="15.75" hidden="1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hidden="1" x14ac:dyDescent="0.25">
      <c r="A1110" s="50"/>
      <c r="B1110" s="50"/>
      <c r="E1110" s="54">
        <v>5</v>
      </c>
      <c r="F1110" s="53"/>
      <c r="G1110" s="102">
        <f>G874+G521</f>
        <v>39509</v>
      </c>
      <c r="H1110" s="102">
        <f>H874+H521</f>
        <v>47933.850000000006</v>
      </c>
    </row>
    <row r="1111" spans="1:41" ht="15.75" hidden="1" x14ac:dyDescent="0.25">
      <c r="A1111" s="50"/>
      <c r="B1111" s="50"/>
      <c r="E1111" s="54" t="s">
        <v>588</v>
      </c>
      <c r="F1111" s="53"/>
      <c r="G1111" s="102">
        <f>G1110-G1112</f>
        <v>39509</v>
      </c>
      <c r="H1111" s="102">
        <f>H1110-H1112</f>
        <v>47933.850000000006</v>
      </c>
    </row>
    <row r="1112" spans="1:41" ht="15.75" hidden="1" x14ac:dyDescent="0.25">
      <c r="A1112" s="50"/>
      <c r="B1112" s="50"/>
      <c r="E1112" s="54" t="s">
        <v>589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hidden="1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hidden="1" x14ac:dyDescent="0.25">
      <c r="A1114" s="50"/>
      <c r="B1114" s="50"/>
      <c r="E1114" s="54" t="s">
        <v>588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hidden="1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hidden="1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78971.679999999993</v>
      </c>
    </row>
    <row r="1117" spans="1:41" ht="15.75" hidden="1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hidden="1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3813.3999999999996</v>
      </c>
    </row>
    <row r="1119" spans="1:41" ht="15.75" hidden="1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hidden="1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hidden="1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hidden="1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hidden="1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hidden="1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hidden="1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191" customFormat="1" ht="15.75" hidden="1" x14ac:dyDescent="0.25">
      <c r="A1126" s="50"/>
      <c r="B1126" s="50"/>
      <c r="E1126" s="54" t="s">
        <v>1413</v>
      </c>
      <c r="F1126" s="53"/>
      <c r="G1126" s="102">
        <f>G9</f>
        <v>8227.4860250000002</v>
      </c>
      <c r="H1126" s="102">
        <f>H9</f>
        <v>25451.88</v>
      </c>
    </row>
    <row r="1127" spans="1:13" ht="15.75" hidden="1" x14ac:dyDescent="0.25">
      <c r="A1127" s="50"/>
      <c r="B1127" s="50"/>
      <c r="E1127" s="55"/>
      <c r="F1127" s="53"/>
      <c r="G1127" s="340">
        <f>G1102+G1105+G1106+G1107+G1110+G1113+G1116+G1119+G1122+G1125+G1126</f>
        <v>729560.80602499994</v>
      </c>
      <c r="H1127" s="340">
        <f>H1102+H1105+H1106+H1107+H1110+H1113+H1116+H1119+H1122+H1125+H1126</f>
        <v>776239.05</v>
      </c>
    </row>
    <row r="1128" spans="1:13" ht="15.75" hidden="1" x14ac:dyDescent="0.25">
      <c r="A1128" s="50"/>
      <c r="B1128" s="50"/>
      <c r="E1128" s="54" t="s">
        <v>588</v>
      </c>
      <c r="F1128" s="53"/>
      <c r="G1128" s="340">
        <f>G1103+G1105+G1106+G1108+G1111+G1114+G1117+G1120+G1123+G1125+G1126</f>
        <v>492427.98548594612</v>
      </c>
      <c r="H1128" s="340">
        <f>H1103+H1105+H1106+H1108+H1111+H1114+H1117+H1120+H1123+H1125+H1126</f>
        <v>506702.99891089107</v>
      </c>
      <c r="L1128" s="209">
        <f>G1128-G1096</f>
        <v>0</v>
      </c>
      <c r="M1128" s="209">
        <f>H1128-H1096</f>
        <v>0</v>
      </c>
    </row>
    <row r="1129" spans="1:13" ht="15.75" hidden="1" x14ac:dyDescent="0.25">
      <c r="A1129" s="50"/>
      <c r="B1129" s="50"/>
      <c r="E1129" s="54" t="s">
        <v>589</v>
      </c>
      <c r="F1129" s="53"/>
      <c r="G1129" s="340">
        <f>G1127-G1128</f>
        <v>237132.82053905382</v>
      </c>
      <c r="H1129" s="340">
        <f>H1127-H1128</f>
        <v>269536.05108910898</v>
      </c>
    </row>
    <row r="1130" spans="1:13" hidden="1" x14ac:dyDescent="0.25">
      <c r="G1130" s="115">
        <f>G1127-G1094</f>
        <v>0</v>
      </c>
      <c r="H1130" s="115">
        <f>H1127-H1094</f>
        <v>0</v>
      </c>
      <c r="L1130" s="261">
        <f>H1130-G1130</f>
        <v>0</v>
      </c>
    </row>
    <row r="1131" spans="1:13" hidden="1" x14ac:dyDescent="0.25">
      <c r="D1131" s="192" t="s">
        <v>590</v>
      </c>
      <c r="E1131" s="192">
        <v>50</v>
      </c>
      <c r="G1131" s="115">
        <f>G861</f>
        <v>2127.6</v>
      </c>
      <c r="H1131" s="115">
        <f>H861</f>
        <v>1949.1</v>
      </c>
    </row>
    <row r="1132" spans="1:13" hidden="1" x14ac:dyDescent="0.25">
      <c r="E1132" s="192">
        <v>51</v>
      </c>
      <c r="G1132" s="115">
        <f>G245+G275+G338+G434+G447</f>
        <v>3481.61</v>
      </c>
      <c r="H1132" s="115">
        <f>H245+H275+H338+H434+H447</f>
        <v>3896.11</v>
      </c>
    </row>
    <row r="1133" spans="1:13" hidden="1" x14ac:dyDescent="0.25">
      <c r="E1133" s="192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hidden="1" x14ac:dyDescent="0.25">
      <c r="E1134" s="192">
        <v>53</v>
      </c>
      <c r="G1134" s="115">
        <f>G213</f>
        <v>150</v>
      </c>
      <c r="H1134" s="115">
        <f>H213</f>
        <v>150</v>
      </c>
    </row>
    <row r="1135" spans="1:13" hidden="1" x14ac:dyDescent="0.25">
      <c r="E1135" s="192">
        <v>54</v>
      </c>
      <c r="G1135" s="115">
        <f>G1059+G89+G44</f>
        <v>724</v>
      </c>
      <c r="H1135" s="115">
        <f>H1059+H89+H44</f>
        <v>724</v>
      </c>
    </row>
    <row r="1136" spans="1:13" hidden="1" x14ac:dyDescent="0.25">
      <c r="E1136" s="192">
        <v>55</v>
      </c>
      <c r="G1136" s="115">
        <f>G226</f>
        <v>10</v>
      </c>
      <c r="H1136" s="115">
        <f>H226</f>
        <v>10</v>
      </c>
    </row>
    <row r="1137" spans="1:8" hidden="1" x14ac:dyDescent="0.25">
      <c r="E1137" s="192">
        <v>56</v>
      </c>
    </row>
    <row r="1138" spans="1:8" hidden="1" x14ac:dyDescent="0.25">
      <c r="E1138" s="192">
        <v>57</v>
      </c>
      <c r="G1138" s="115">
        <f>G766+G824</f>
        <v>52873.1</v>
      </c>
      <c r="H1138" s="115">
        <f>H766+H824</f>
        <v>52873.1</v>
      </c>
    </row>
    <row r="1139" spans="1:8" hidden="1" x14ac:dyDescent="0.25">
      <c r="E1139" s="192">
        <v>58</v>
      </c>
      <c r="G1139" s="115">
        <f>G295+G359+G470</f>
        <v>81484.89</v>
      </c>
      <c r="H1139" s="115">
        <f>H295+H359+H470</f>
        <v>83991.09</v>
      </c>
    </row>
    <row r="1140" spans="1:8" hidden="1" x14ac:dyDescent="0.25">
      <c r="E1140" s="192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hidden="1" x14ac:dyDescent="0.25">
      <c r="E1141" s="192">
        <v>60</v>
      </c>
      <c r="G1141" s="115">
        <f>G959</f>
        <v>1920</v>
      </c>
      <c r="H1141" s="115">
        <f>H959</f>
        <v>2173</v>
      </c>
    </row>
    <row r="1142" spans="1:8" hidden="1" x14ac:dyDescent="0.25">
      <c r="E1142" s="192">
        <v>61</v>
      </c>
      <c r="G1142" s="115">
        <f>G193</f>
        <v>274</v>
      </c>
      <c r="H1142" s="115">
        <f>H193</f>
        <v>274</v>
      </c>
    </row>
    <row r="1143" spans="1:8" hidden="1" x14ac:dyDescent="0.25">
      <c r="E1143" s="192">
        <v>62</v>
      </c>
      <c r="G1143" s="115">
        <f>G919</f>
        <v>700</v>
      </c>
      <c r="H1143" s="115">
        <f>H919</f>
        <v>700</v>
      </c>
    </row>
    <row r="1144" spans="1:8" hidden="1" x14ac:dyDescent="0.25">
      <c r="E1144" s="192">
        <v>63</v>
      </c>
      <c r="G1144" s="115">
        <f>G251+G540+G759</f>
        <v>120</v>
      </c>
      <c r="H1144" s="115">
        <f>H251+H540+H759</f>
        <v>120</v>
      </c>
    </row>
    <row r="1145" spans="1:8" hidden="1" x14ac:dyDescent="0.25">
      <c r="E1145" s="192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hidden="1" x14ac:dyDescent="0.25">
      <c r="E1146" s="192">
        <v>65</v>
      </c>
      <c r="G1146" s="115">
        <f>G998</f>
        <v>500</v>
      </c>
      <c r="H1146" s="115">
        <f>H998</f>
        <v>500</v>
      </c>
    </row>
    <row r="1147" spans="1:8" hidden="1" x14ac:dyDescent="0.25">
      <c r="E1147" s="192">
        <v>66</v>
      </c>
      <c r="G1147" s="115">
        <f>G516</f>
        <v>0</v>
      </c>
      <c r="H1147" s="115">
        <f>H516</f>
        <v>0</v>
      </c>
    </row>
    <row r="1148" spans="1:8" hidden="1" x14ac:dyDescent="0.25">
      <c r="E1148" s="192">
        <v>67</v>
      </c>
      <c r="G1148" s="115">
        <f>G155</f>
        <v>45</v>
      </c>
      <c r="H1148" s="115">
        <f>H155</f>
        <v>50</v>
      </c>
    </row>
    <row r="1149" spans="1:8" hidden="1" x14ac:dyDescent="0.25">
      <c r="E1149" s="192">
        <v>69</v>
      </c>
      <c r="G1149" s="115">
        <f>G160</f>
        <v>80</v>
      </c>
      <c r="H1149" s="115">
        <f>H160</f>
        <v>90</v>
      </c>
    </row>
    <row r="1150" spans="1:8" s="191" customFormat="1" hidden="1" x14ac:dyDescent="0.25">
      <c r="A1150" s="192"/>
      <c r="B1150" s="192"/>
      <c r="C1150" s="192"/>
      <c r="D1150" s="192"/>
      <c r="E1150" s="192">
        <v>70</v>
      </c>
      <c r="F1150" s="192"/>
      <c r="G1150" s="115">
        <f>G948</f>
        <v>204</v>
      </c>
      <c r="H1150" s="115">
        <f>H948</f>
        <v>215</v>
      </c>
    </row>
    <row r="1151" spans="1:8" hidden="1" x14ac:dyDescent="0.25">
      <c r="G1151" s="115">
        <f>SUM(G1131:G1150)</f>
        <v>473181.49999999994</v>
      </c>
      <c r="H1151" s="115">
        <f>SUM(H1131:H1150)</f>
        <v>499362.45000000007</v>
      </c>
    </row>
    <row r="1152" spans="1:8" hidden="1" x14ac:dyDescent="0.25"/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rowBreaks count="1" manualBreakCount="1">
    <brk id="106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389" zoomScaleNormal="100" zoomScaleSheetLayoutView="100" workbookViewId="0">
      <selection activeCell="H396" sqref="H396"/>
    </sheetView>
  </sheetViews>
  <sheetFormatPr defaultColWidth="9.140625" defaultRowHeight="15" x14ac:dyDescent="0.25"/>
  <cols>
    <col min="1" max="1" width="55" style="192" customWidth="1"/>
    <col min="2" max="2" width="6.42578125" style="192" customWidth="1"/>
    <col min="3" max="3" width="6" style="192" customWidth="1"/>
    <col min="4" max="4" width="5.140625" style="192" customWidth="1"/>
    <col min="5" max="5" width="15.85546875" style="192" customWidth="1"/>
    <col min="6" max="6" width="7" style="192" customWidth="1"/>
    <col min="7" max="7" width="15.85546875" style="115" customWidth="1"/>
    <col min="8" max="8" width="16" style="115" customWidth="1"/>
    <col min="9" max="9" width="13.28515625" style="387" hidden="1" customWidth="1"/>
    <col min="10" max="11" width="0" style="387" hidden="1" customWidth="1"/>
    <col min="12" max="12" width="10.42578125" style="387" customWidth="1"/>
    <col min="13" max="13" width="10.85546875" style="387" customWidth="1"/>
    <col min="14" max="14" width="9.28515625" style="387" customWidth="1"/>
    <col min="15" max="15" width="7.42578125" style="387" customWidth="1"/>
    <col min="16" max="16" width="8" style="387" customWidth="1"/>
    <col min="17" max="17" width="7.7109375" style="387" customWidth="1"/>
    <col min="18" max="18" width="7.140625" style="387" customWidth="1"/>
    <col min="19" max="23" width="8.140625" style="387" customWidth="1"/>
    <col min="24" max="24" width="6.7109375" style="387" customWidth="1"/>
    <col min="25" max="27" width="7.42578125" style="387" customWidth="1"/>
    <col min="28" max="16384" width="9.140625" style="387"/>
  </cols>
  <sheetData>
    <row r="1" spans="1:9" ht="18.75" customHeight="1" x14ac:dyDescent="0.25">
      <c r="A1" s="63"/>
      <c r="B1" s="63"/>
      <c r="C1" s="63"/>
      <c r="D1" s="63"/>
      <c r="G1" s="539" t="s">
        <v>1501</v>
      </c>
      <c r="H1" s="539"/>
      <c r="I1" s="192"/>
    </row>
    <row r="2" spans="1:9" ht="18.75" customHeight="1" x14ac:dyDescent="0.25">
      <c r="A2" s="63"/>
      <c r="B2" s="63"/>
      <c r="C2" s="63"/>
      <c r="D2" s="63"/>
      <c r="G2" s="539" t="s">
        <v>1500</v>
      </c>
      <c r="H2" s="539"/>
      <c r="I2" s="192"/>
    </row>
    <row r="3" spans="1:9" ht="18.75" customHeight="1" x14ac:dyDescent="0.25">
      <c r="A3" s="63"/>
      <c r="B3" s="63"/>
      <c r="C3" s="63"/>
      <c r="D3" s="63"/>
      <c r="G3" s="539" t="s">
        <v>1493</v>
      </c>
      <c r="H3" s="539"/>
      <c r="I3" s="192"/>
    </row>
    <row r="4" spans="1:9" ht="15.75" x14ac:dyDescent="0.25">
      <c r="A4" s="565"/>
      <c r="B4" s="565"/>
      <c r="C4" s="565"/>
      <c r="D4" s="565"/>
      <c r="E4" s="565"/>
      <c r="F4" s="565"/>
      <c r="I4" s="192"/>
    </row>
    <row r="5" spans="1:9" ht="15.75" x14ac:dyDescent="0.25">
      <c r="A5" s="556" t="s">
        <v>1287</v>
      </c>
      <c r="B5" s="556"/>
      <c r="C5" s="556"/>
      <c r="D5" s="556"/>
      <c r="E5" s="556"/>
      <c r="F5" s="556"/>
      <c r="G5" s="556"/>
      <c r="H5" s="556"/>
      <c r="I5" s="192"/>
    </row>
    <row r="6" spans="1:9" ht="15.75" x14ac:dyDescent="0.25">
      <c r="A6" s="435"/>
      <c r="B6" s="435"/>
      <c r="C6" s="435"/>
      <c r="D6" s="435"/>
      <c r="E6" s="435"/>
      <c r="F6" s="435"/>
      <c r="I6" s="192"/>
    </row>
    <row r="7" spans="1:9" ht="15.75" x14ac:dyDescent="0.25">
      <c r="A7" s="13"/>
      <c r="B7" s="13"/>
      <c r="C7" s="13"/>
      <c r="D7" s="13"/>
      <c r="E7" s="13"/>
      <c r="F7" s="13"/>
      <c r="G7" s="250" t="s">
        <v>1</v>
      </c>
      <c r="H7" s="250"/>
      <c r="I7" s="192"/>
    </row>
    <row r="8" spans="1:9" ht="63" x14ac:dyDescent="0.25">
      <c r="A8" s="430" t="s">
        <v>110</v>
      </c>
      <c r="B8" s="430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36" t="s">
        <v>1027</v>
      </c>
      <c r="H8" s="336" t="s">
        <v>1288</v>
      </c>
      <c r="I8" s="192"/>
    </row>
    <row r="9" spans="1:9" ht="15.75" x14ac:dyDescent="0.25">
      <c r="A9" s="272" t="s">
        <v>1411</v>
      </c>
      <c r="B9" s="430"/>
      <c r="C9" s="15"/>
      <c r="D9" s="15"/>
      <c r="E9" s="15"/>
      <c r="F9" s="15"/>
      <c r="G9" s="59">
        <v>12478.69</v>
      </c>
      <c r="H9" s="59">
        <v>25451.88</v>
      </c>
      <c r="I9" s="192"/>
    </row>
    <row r="10" spans="1:9" ht="31.5" x14ac:dyDescent="0.25">
      <c r="A10" s="391" t="s">
        <v>116</v>
      </c>
      <c r="B10" s="391">
        <v>901</v>
      </c>
      <c r="C10" s="392"/>
      <c r="D10" s="392"/>
      <c r="E10" s="392"/>
      <c r="F10" s="392"/>
      <c r="G10" s="393">
        <f>G11+G25</f>
        <v>13506</v>
      </c>
      <c r="H10" s="393">
        <f>H11+H25</f>
        <v>13506</v>
      </c>
      <c r="I10" s="192"/>
    </row>
    <row r="11" spans="1:9" ht="15.75" x14ac:dyDescent="0.25">
      <c r="A11" s="394" t="s">
        <v>117</v>
      </c>
      <c r="B11" s="391">
        <v>901</v>
      </c>
      <c r="C11" s="395" t="s">
        <v>118</v>
      </c>
      <c r="D11" s="392"/>
      <c r="E11" s="392"/>
      <c r="F11" s="392"/>
      <c r="G11" s="393">
        <f t="shared" ref="G11:H13" si="0">G12</f>
        <v>13506</v>
      </c>
      <c r="H11" s="393">
        <f t="shared" si="0"/>
        <v>13506</v>
      </c>
      <c r="I11" s="192"/>
    </row>
    <row r="12" spans="1:9" ht="51" customHeight="1" x14ac:dyDescent="0.25">
      <c r="A12" s="394" t="s">
        <v>119</v>
      </c>
      <c r="B12" s="391">
        <v>901</v>
      </c>
      <c r="C12" s="395" t="s">
        <v>118</v>
      </c>
      <c r="D12" s="395" t="s">
        <v>120</v>
      </c>
      <c r="E12" s="395"/>
      <c r="F12" s="395"/>
      <c r="G12" s="393">
        <f t="shared" si="0"/>
        <v>13506</v>
      </c>
      <c r="H12" s="393">
        <f t="shared" si="0"/>
        <v>13506</v>
      </c>
      <c r="I12" s="192"/>
    </row>
    <row r="13" spans="1:9" ht="31.5" x14ac:dyDescent="0.25">
      <c r="A13" s="394" t="s">
        <v>916</v>
      </c>
      <c r="B13" s="391">
        <v>901</v>
      </c>
      <c r="C13" s="395" t="s">
        <v>118</v>
      </c>
      <c r="D13" s="395" t="s">
        <v>120</v>
      </c>
      <c r="E13" s="395" t="s">
        <v>857</v>
      </c>
      <c r="F13" s="395"/>
      <c r="G13" s="393">
        <f t="shared" si="0"/>
        <v>13506</v>
      </c>
      <c r="H13" s="393">
        <f t="shared" si="0"/>
        <v>13506</v>
      </c>
      <c r="I13" s="192"/>
    </row>
    <row r="14" spans="1:9" ht="15.75" x14ac:dyDescent="0.25">
      <c r="A14" s="394" t="s">
        <v>917</v>
      </c>
      <c r="B14" s="391">
        <v>901</v>
      </c>
      <c r="C14" s="395" t="s">
        <v>118</v>
      </c>
      <c r="D14" s="395" t="s">
        <v>120</v>
      </c>
      <c r="E14" s="395" t="s">
        <v>858</v>
      </c>
      <c r="F14" s="395"/>
      <c r="G14" s="393">
        <f>G15+G22</f>
        <v>13506</v>
      </c>
      <c r="H14" s="393">
        <f>H15+H22</f>
        <v>13506</v>
      </c>
      <c r="I14" s="192"/>
    </row>
    <row r="15" spans="1:9" ht="31.5" x14ac:dyDescent="0.25">
      <c r="A15" s="396" t="s">
        <v>896</v>
      </c>
      <c r="B15" s="390">
        <v>901</v>
      </c>
      <c r="C15" s="392" t="s">
        <v>118</v>
      </c>
      <c r="D15" s="392" t="s">
        <v>120</v>
      </c>
      <c r="E15" s="392" t="s">
        <v>859</v>
      </c>
      <c r="F15" s="392"/>
      <c r="G15" s="397">
        <f>G16+G18+G20</f>
        <v>13086</v>
      </c>
      <c r="H15" s="397">
        <f>H16+H18+H20</f>
        <v>13086</v>
      </c>
      <c r="I15" s="192"/>
    </row>
    <row r="16" spans="1:9" ht="78.75" x14ac:dyDescent="0.25">
      <c r="A16" s="396" t="s">
        <v>127</v>
      </c>
      <c r="B16" s="390">
        <v>901</v>
      </c>
      <c r="C16" s="392" t="s">
        <v>118</v>
      </c>
      <c r="D16" s="392" t="s">
        <v>120</v>
      </c>
      <c r="E16" s="392" t="s">
        <v>859</v>
      </c>
      <c r="F16" s="392" t="s">
        <v>128</v>
      </c>
      <c r="G16" s="397">
        <f>G17</f>
        <v>12081</v>
      </c>
      <c r="H16" s="397">
        <f>H17</f>
        <v>12081</v>
      </c>
      <c r="I16" s="192"/>
    </row>
    <row r="17" spans="1:12" ht="31.5" x14ac:dyDescent="0.25">
      <c r="A17" s="396" t="s">
        <v>129</v>
      </c>
      <c r="B17" s="390">
        <v>901</v>
      </c>
      <c r="C17" s="392" t="s">
        <v>118</v>
      </c>
      <c r="D17" s="392" t="s">
        <v>120</v>
      </c>
      <c r="E17" s="392" t="s">
        <v>859</v>
      </c>
      <c r="F17" s="392" t="s">
        <v>130</v>
      </c>
      <c r="G17" s="397">
        <v>12081</v>
      </c>
      <c r="H17" s="397">
        <f t="shared" ref="H17:H97" si="1">G17</f>
        <v>12081</v>
      </c>
      <c r="I17" s="192"/>
    </row>
    <row r="18" spans="1:12" ht="31.5" x14ac:dyDescent="0.25">
      <c r="A18" s="396" t="s">
        <v>131</v>
      </c>
      <c r="B18" s="390">
        <v>901</v>
      </c>
      <c r="C18" s="392" t="s">
        <v>118</v>
      </c>
      <c r="D18" s="392" t="s">
        <v>120</v>
      </c>
      <c r="E18" s="392" t="s">
        <v>859</v>
      </c>
      <c r="F18" s="392" t="s">
        <v>132</v>
      </c>
      <c r="G18" s="397">
        <f>G19</f>
        <v>977</v>
      </c>
      <c r="H18" s="397">
        <f>H19</f>
        <v>977</v>
      </c>
      <c r="I18" s="192"/>
    </row>
    <row r="19" spans="1:12" ht="31.5" x14ac:dyDescent="0.25">
      <c r="A19" s="396" t="s">
        <v>133</v>
      </c>
      <c r="B19" s="390">
        <v>901</v>
      </c>
      <c r="C19" s="392" t="s">
        <v>118</v>
      </c>
      <c r="D19" s="392" t="s">
        <v>120</v>
      </c>
      <c r="E19" s="392" t="s">
        <v>859</v>
      </c>
      <c r="F19" s="392" t="s">
        <v>134</v>
      </c>
      <c r="G19" s="397">
        <v>977</v>
      </c>
      <c r="H19" s="397">
        <f t="shared" si="1"/>
        <v>977</v>
      </c>
      <c r="I19" s="192"/>
    </row>
    <row r="20" spans="1:12" ht="15.75" x14ac:dyDescent="0.25">
      <c r="A20" s="396" t="s">
        <v>135</v>
      </c>
      <c r="B20" s="390">
        <v>901</v>
      </c>
      <c r="C20" s="392" t="s">
        <v>118</v>
      </c>
      <c r="D20" s="392" t="s">
        <v>120</v>
      </c>
      <c r="E20" s="392" t="s">
        <v>859</v>
      </c>
      <c r="F20" s="392" t="s">
        <v>136</v>
      </c>
      <c r="G20" s="397">
        <f>G21</f>
        <v>28</v>
      </c>
      <c r="H20" s="397">
        <f>H21</f>
        <v>28</v>
      </c>
      <c r="I20" s="192"/>
    </row>
    <row r="21" spans="1:12" ht="15.75" x14ac:dyDescent="0.25">
      <c r="A21" s="396" t="s">
        <v>568</v>
      </c>
      <c r="B21" s="390">
        <v>901</v>
      </c>
      <c r="C21" s="392" t="s">
        <v>118</v>
      </c>
      <c r="D21" s="392" t="s">
        <v>120</v>
      </c>
      <c r="E21" s="392" t="s">
        <v>859</v>
      </c>
      <c r="F21" s="392" t="s">
        <v>138</v>
      </c>
      <c r="G21" s="397">
        <v>28</v>
      </c>
      <c r="H21" s="397">
        <v>28</v>
      </c>
      <c r="I21" s="192"/>
    </row>
    <row r="22" spans="1:12" ht="47.25" x14ac:dyDescent="0.25">
      <c r="A22" s="396" t="s">
        <v>838</v>
      </c>
      <c r="B22" s="390">
        <v>901</v>
      </c>
      <c r="C22" s="392" t="s">
        <v>118</v>
      </c>
      <c r="D22" s="392" t="s">
        <v>120</v>
      </c>
      <c r="E22" s="392" t="s">
        <v>861</v>
      </c>
      <c r="F22" s="392"/>
      <c r="G22" s="397">
        <f>G23</f>
        <v>420</v>
      </c>
      <c r="H22" s="397">
        <f>H23</f>
        <v>420</v>
      </c>
      <c r="I22" s="192"/>
    </row>
    <row r="23" spans="1:12" ht="78.75" x14ac:dyDescent="0.25">
      <c r="A23" s="396" t="s">
        <v>127</v>
      </c>
      <c r="B23" s="390">
        <v>901</v>
      </c>
      <c r="C23" s="392" t="s">
        <v>118</v>
      </c>
      <c r="D23" s="392" t="s">
        <v>120</v>
      </c>
      <c r="E23" s="392" t="s">
        <v>861</v>
      </c>
      <c r="F23" s="392" t="s">
        <v>128</v>
      </c>
      <c r="G23" s="397">
        <f>G24</f>
        <v>420</v>
      </c>
      <c r="H23" s="397">
        <f>H24</f>
        <v>420</v>
      </c>
      <c r="I23" s="192"/>
    </row>
    <row r="24" spans="1:12" ht="31.5" x14ac:dyDescent="0.25">
      <c r="A24" s="396" t="s">
        <v>129</v>
      </c>
      <c r="B24" s="390">
        <v>901</v>
      </c>
      <c r="C24" s="392" t="s">
        <v>118</v>
      </c>
      <c r="D24" s="392" t="s">
        <v>120</v>
      </c>
      <c r="E24" s="392" t="s">
        <v>861</v>
      </c>
      <c r="F24" s="392" t="s">
        <v>130</v>
      </c>
      <c r="G24" s="397">
        <v>420</v>
      </c>
      <c r="H24" s="397">
        <v>420</v>
      </c>
      <c r="I24" s="192"/>
    </row>
    <row r="25" spans="1:12" ht="15.75" hidden="1" x14ac:dyDescent="0.25">
      <c r="A25" s="394" t="s">
        <v>139</v>
      </c>
      <c r="B25" s="391">
        <v>901</v>
      </c>
      <c r="C25" s="395" t="s">
        <v>118</v>
      </c>
      <c r="D25" s="395" t="s">
        <v>140</v>
      </c>
      <c r="E25" s="395"/>
      <c r="F25" s="395"/>
      <c r="G25" s="393">
        <f t="shared" ref="G25:H29" si="2">G26</f>
        <v>0</v>
      </c>
      <c r="H25" s="393">
        <f t="shared" si="2"/>
        <v>0</v>
      </c>
      <c r="I25" s="192"/>
    </row>
    <row r="26" spans="1:12" ht="15.75" hidden="1" x14ac:dyDescent="0.25">
      <c r="A26" s="394" t="s">
        <v>141</v>
      </c>
      <c r="B26" s="391">
        <v>901</v>
      </c>
      <c r="C26" s="395" t="s">
        <v>118</v>
      </c>
      <c r="D26" s="395" t="s">
        <v>140</v>
      </c>
      <c r="E26" s="395" t="s">
        <v>865</v>
      </c>
      <c r="F26" s="395"/>
      <c r="G26" s="393">
        <f t="shared" si="2"/>
        <v>0</v>
      </c>
      <c r="H26" s="393">
        <f t="shared" si="2"/>
        <v>0</v>
      </c>
      <c r="I26" s="192"/>
    </row>
    <row r="27" spans="1:12" ht="31.5" hidden="1" x14ac:dyDescent="0.25">
      <c r="A27" s="394" t="s">
        <v>869</v>
      </c>
      <c r="B27" s="391">
        <v>901</v>
      </c>
      <c r="C27" s="395" t="s">
        <v>118</v>
      </c>
      <c r="D27" s="395" t="s">
        <v>140</v>
      </c>
      <c r="E27" s="395" t="s">
        <v>864</v>
      </c>
      <c r="F27" s="395"/>
      <c r="G27" s="393">
        <f t="shared" si="2"/>
        <v>0</v>
      </c>
      <c r="H27" s="393">
        <f t="shared" si="2"/>
        <v>0</v>
      </c>
      <c r="I27" s="192"/>
    </row>
    <row r="28" spans="1:12" ht="15.75" hidden="1" x14ac:dyDescent="0.25">
      <c r="A28" s="396" t="s">
        <v>1135</v>
      </c>
      <c r="B28" s="390">
        <v>901</v>
      </c>
      <c r="C28" s="392" t="s">
        <v>118</v>
      </c>
      <c r="D28" s="392" t="s">
        <v>140</v>
      </c>
      <c r="E28" s="392" t="s">
        <v>1136</v>
      </c>
      <c r="F28" s="392"/>
      <c r="G28" s="397">
        <f t="shared" si="2"/>
        <v>0</v>
      </c>
      <c r="H28" s="397">
        <f t="shared" si="2"/>
        <v>0</v>
      </c>
      <c r="I28" s="192"/>
    </row>
    <row r="29" spans="1:12" ht="15.75" hidden="1" x14ac:dyDescent="0.25">
      <c r="A29" s="396" t="s">
        <v>135</v>
      </c>
      <c r="B29" s="390">
        <v>901</v>
      </c>
      <c r="C29" s="392" t="s">
        <v>118</v>
      </c>
      <c r="D29" s="392" t="s">
        <v>140</v>
      </c>
      <c r="E29" s="392" t="s">
        <v>1136</v>
      </c>
      <c r="F29" s="392" t="s">
        <v>145</v>
      </c>
      <c r="G29" s="397">
        <f>G30</f>
        <v>0</v>
      </c>
      <c r="H29" s="397">
        <f t="shared" si="2"/>
        <v>0</v>
      </c>
      <c r="I29" s="192"/>
    </row>
    <row r="30" spans="1:12" ht="15.75" hidden="1" x14ac:dyDescent="0.25">
      <c r="A30" s="396" t="s">
        <v>1135</v>
      </c>
      <c r="B30" s="390">
        <v>901</v>
      </c>
      <c r="C30" s="392" t="s">
        <v>118</v>
      </c>
      <c r="D30" s="392" t="s">
        <v>140</v>
      </c>
      <c r="E30" s="392" t="s">
        <v>1136</v>
      </c>
      <c r="F30" s="392" t="s">
        <v>1137</v>
      </c>
      <c r="G30" s="397">
        <v>0</v>
      </c>
      <c r="H30" s="397">
        <v>0</v>
      </c>
      <c r="I30" s="192"/>
      <c r="L30" s="387" t="s">
        <v>1292</v>
      </c>
    </row>
    <row r="31" spans="1:12" ht="21.75" customHeight="1" x14ac:dyDescent="0.25">
      <c r="A31" s="391" t="s">
        <v>148</v>
      </c>
      <c r="B31" s="391">
        <v>902</v>
      </c>
      <c r="C31" s="392"/>
      <c r="D31" s="392"/>
      <c r="E31" s="392"/>
      <c r="F31" s="392"/>
      <c r="G31" s="393">
        <f>G32+G172+G191+G218+G165</f>
        <v>79272.81</v>
      </c>
      <c r="H31" s="393">
        <f>H32+H172+H191+H218+H165</f>
        <v>66093.72</v>
      </c>
      <c r="I31" s="192"/>
    </row>
    <row r="32" spans="1:12" ht="15.75" x14ac:dyDescent="0.25">
      <c r="A32" s="394" t="s">
        <v>117</v>
      </c>
      <c r="B32" s="391">
        <v>902</v>
      </c>
      <c r="C32" s="395" t="s">
        <v>118</v>
      </c>
      <c r="D32" s="392"/>
      <c r="E32" s="392"/>
      <c r="F32" s="392"/>
      <c r="G32" s="393">
        <f>G52+G113+G130+G122+G33</f>
        <v>57018.81</v>
      </c>
      <c r="H32" s="393">
        <f>H52+H113+H130+H122+H33</f>
        <v>43873.119999999995</v>
      </c>
      <c r="I32" s="192"/>
    </row>
    <row r="33" spans="1:9" ht="47.25" x14ac:dyDescent="0.25">
      <c r="A33" s="394" t="s">
        <v>575</v>
      </c>
      <c r="B33" s="391">
        <v>902</v>
      </c>
      <c r="C33" s="395" t="s">
        <v>118</v>
      </c>
      <c r="D33" s="395" t="s">
        <v>213</v>
      </c>
      <c r="E33" s="392"/>
      <c r="F33" s="392"/>
      <c r="G33" s="393">
        <f>G34+G44</f>
        <v>4867.3999999999996</v>
      </c>
      <c r="H33" s="393">
        <f>H34+H44</f>
        <v>4867.3999999999996</v>
      </c>
      <c r="I33" s="192"/>
    </row>
    <row r="34" spans="1:9" ht="31.5" x14ac:dyDescent="0.25">
      <c r="A34" s="394" t="s">
        <v>916</v>
      </c>
      <c r="B34" s="391">
        <v>902</v>
      </c>
      <c r="C34" s="395" t="s">
        <v>118</v>
      </c>
      <c r="D34" s="395" t="s">
        <v>213</v>
      </c>
      <c r="E34" s="395" t="s">
        <v>857</v>
      </c>
      <c r="F34" s="392"/>
      <c r="G34" s="393">
        <f>G35</f>
        <v>4826.8999999999996</v>
      </c>
      <c r="H34" s="393">
        <f>H35</f>
        <v>4826.8999999999996</v>
      </c>
      <c r="I34" s="192"/>
    </row>
    <row r="35" spans="1:9" ht="15.75" x14ac:dyDescent="0.25">
      <c r="A35" s="394" t="s">
        <v>917</v>
      </c>
      <c r="B35" s="391">
        <v>902</v>
      </c>
      <c r="C35" s="395" t="s">
        <v>118</v>
      </c>
      <c r="D35" s="395" t="s">
        <v>213</v>
      </c>
      <c r="E35" s="395" t="s">
        <v>858</v>
      </c>
      <c r="F35" s="392"/>
      <c r="G35" s="393">
        <f>G36+G41</f>
        <v>4826.8999999999996</v>
      </c>
      <c r="H35" s="393">
        <f>H36+H41</f>
        <v>4826.8999999999996</v>
      </c>
      <c r="I35" s="192"/>
    </row>
    <row r="36" spans="1:9" ht="31.5" x14ac:dyDescent="0.25">
      <c r="A36" s="396" t="s">
        <v>576</v>
      </c>
      <c r="B36" s="390">
        <v>902</v>
      </c>
      <c r="C36" s="392" t="s">
        <v>118</v>
      </c>
      <c r="D36" s="392" t="s">
        <v>213</v>
      </c>
      <c r="E36" s="392" t="s">
        <v>1328</v>
      </c>
      <c r="F36" s="392"/>
      <c r="G36" s="397">
        <f>G37+G39</f>
        <v>4826.8999999999996</v>
      </c>
      <c r="H36" s="397">
        <f>H37+H39</f>
        <v>4826.8999999999996</v>
      </c>
      <c r="I36" s="192"/>
    </row>
    <row r="37" spans="1:9" ht="78.75" x14ac:dyDescent="0.25">
      <c r="A37" s="396" t="s">
        <v>127</v>
      </c>
      <c r="B37" s="390">
        <v>902</v>
      </c>
      <c r="C37" s="392" t="s">
        <v>118</v>
      </c>
      <c r="D37" s="392" t="s">
        <v>213</v>
      </c>
      <c r="E37" s="392" t="s">
        <v>1328</v>
      </c>
      <c r="F37" s="392" t="s">
        <v>128</v>
      </c>
      <c r="G37" s="397">
        <f>G38</f>
        <v>4736.8999999999996</v>
      </c>
      <c r="H37" s="397">
        <f>H38</f>
        <v>4736.8999999999996</v>
      </c>
      <c r="I37" s="192"/>
    </row>
    <row r="38" spans="1:9" ht="31.5" x14ac:dyDescent="0.25">
      <c r="A38" s="396" t="s">
        <v>129</v>
      </c>
      <c r="B38" s="390">
        <v>902</v>
      </c>
      <c r="C38" s="392" t="s">
        <v>118</v>
      </c>
      <c r="D38" s="392" t="s">
        <v>213</v>
      </c>
      <c r="E38" s="392" t="s">
        <v>1328</v>
      </c>
      <c r="F38" s="392" t="s">
        <v>130</v>
      </c>
      <c r="G38" s="27">
        <v>4736.8999999999996</v>
      </c>
      <c r="H38" s="397">
        <f>G38</f>
        <v>4736.8999999999996</v>
      </c>
      <c r="I38" s="192"/>
    </row>
    <row r="39" spans="1:9" ht="31.5" x14ac:dyDescent="0.25">
      <c r="A39" s="396" t="s">
        <v>198</v>
      </c>
      <c r="B39" s="390">
        <v>902</v>
      </c>
      <c r="C39" s="392" t="s">
        <v>118</v>
      </c>
      <c r="D39" s="392" t="s">
        <v>213</v>
      </c>
      <c r="E39" s="392" t="s">
        <v>1328</v>
      </c>
      <c r="F39" s="392" t="s">
        <v>132</v>
      </c>
      <c r="G39" s="397">
        <f>G40</f>
        <v>90</v>
      </c>
      <c r="H39" s="397">
        <f>H40</f>
        <v>90</v>
      </c>
      <c r="I39" s="192"/>
    </row>
    <row r="40" spans="1:9" ht="32.65" customHeight="1" x14ac:dyDescent="0.25">
      <c r="A40" s="396" t="s">
        <v>133</v>
      </c>
      <c r="B40" s="390">
        <v>902</v>
      </c>
      <c r="C40" s="392" t="s">
        <v>118</v>
      </c>
      <c r="D40" s="392" t="s">
        <v>213</v>
      </c>
      <c r="E40" s="392" t="s">
        <v>1328</v>
      </c>
      <c r="F40" s="392" t="s">
        <v>134</v>
      </c>
      <c r="G40" s="397">
        <v>90</v>
      </c>
      <c r="H40" s="397">
        <f>G40</f>
        <v>90</v>
      </c>
      <c r="I40" s="192"/>
    </row>
    <row r="41" spans="1:9" ht="47.25" hidden="1" x14ac:dyDescent="0.25">
      <c r="A41" s="396" t="s">
        <v>838</v>
      </c>
      <c r="B41" s="390">
        <v>902</v>
      </c>
      <c r="C41" s="392" t="s">
        <v>118</v>
      </c>
      <c r="D41" s="392" t="s">
        <v>213</v>
      </c>
      <c r="E41" s="392" t="s">
        <v>861</v>
      </c>
      <c r="F41" s="392"/>
      <c r="G41" s="397">
        <f>G42</f>
        <v>0</v>
      </c>
      <c r="H41" s="397">
        <f>G41</f>
        <v>0</v>
      </c>
      <c r="I41" s="192"/>
    </row>
    <row r="42" spans="1:9" ht="78.75" hidden="1" x14ac:dyDescent="0.25">
      <c r="A42" s="396" t="s">
        <v>127</v>
      </c>
      <c r="B42" s="390">
        <v>902</v>
      </c>
      <c r="C42" s="392" t="s">
        <v>118</v>
      </c>
      <c r="D42" s="392" t="s">
        <v>213</v>
      </c>
      <c r="E42" s="392" t="s">
        <v>861</v>
      </c>
      <c r="F42" s="392" t="s">
        <v>128</v>
      </c>
      <c r="G42" s="397">
        <f>G43</f>
        <v>0</v>
      </c>
      <c r="H42" s="397">
        <f>G42</f>
        <v>0</v>
      </c>
      <c r="I42" s="192"/>
    </row>
    <row r="43" spans="1:9" ht="31.5" hidden="1" x14ac:dyDescent="0.25">
      <c r="A43" s="396" t="s">
        <v>129</v>
      </c>
      <c r="B43" s="390">
        <v>902</v>
      </c>
      <c r="C43" s="392" t="s">
        <v>118</v>
      </c>
      <c r="D43" s="392" t="s">
        <v>213</v>
      </c>
      <c r="E43" s="392" t="s">
        <v>861</v>
      </c>
      <c r="F43" s="392" t="s">
        <v>130</v>
      </c>
      <c r="G43" s="397">
        <f>42-42</f>
        <v>0</v>
      </c>
      <c r="H43" s="397">
        <f>G43</f>
        <v>0</v>
      </c>
      <c r="I43" s="192"/>
    </row>
    <row r="44" spans="1:9" ht="47.25" x14ac:dyDescent="0.25">
      <c r="A44" s="394" t="s">
        <v>1363</v>
      </c>
      <c r="B44" s="391">
        <v>902</v>
      </c>
      <c r="C44" s="395" t="s">
        <v>118</v>
      </c>
      <c r="D44" s="395" t="s">
        <v>213</v>
      </c>
      <c r="E44" s="395" t="s">
        <v>162</v>
      </c>
      <c r="F44" s="395"/>
      <c r="G44" s="393">
        <f>G45</f>
        <v>40.5</v>
      </c>
      <c r="H44" s="393">
        <f>H45</f>
        <v>40.5</v>
      </c>
      <c r="I44" s="192"/>
    </row>
    <row r="45" spans="1:9" ht="63" x14ac:dyDescent="0.25">
      <c r="A45" s="204" t="s">
        <v>842</v>
      </c>
      <c r="B45" s="391">
        <v>902</v>
      </c>
      <c r="C45" s="395" t="s">
        <v>118</v>
      </c>
      <c r="D45" s="395" t="s">
        <v>213</v>
      </c>
      <c r="E45" s="7" t="s">
        <v>849</v>
      </c>
      <c r="F45" s="395"/>
      <c r="G45" s="393">
        <f>G46+G49</f>
        <v>40.5</v>
      </c>
      <c r="H45" s="393">
        <f>H46+H49</f>
        <v>40.5</v>
      </c>
      <c r="I45" s="192"/>
    </row>
    <row r="46" spans="1:9" ht="47.25" x14ac:dyDescent="0.25">
      <c r="A46" s="31" t="s">
        <v>1095</v>
      </c>
      <c r="B46" s="390">
        <v>902</v>
      </c>
      <c r="C46" s="392" t="s">
        <v>118</v>
      </c>
      <c r="D46" s="392" t="s">
        <v>213</v>
      </c>
      <c r="E46" s="399" t="s">
        <v>992</v>
      </c>
      <c r="F46" s="392"/>
      <c r="G46" s="397">
        <f>G47</f>
        <v>40.5</v>
      </c>
      <c r="H46" s="397">
        <f>H47</f>
        <v>40.5</v>
      </c>
      <c r="I46" s="192"/>
    </row>
    <row r="47" spans="1:9" ht="31.5" x14ac:dyDescent="0.25">
      <c r="A47" s="396" t="s">
        <v>131</v>
      </c>
      <c r="B47" s="390">
        <v>902</v>
      </c>
      <c r="C47" s="392" t="s">
        <v>118</v>
      </c>
      <c r="D47" s="392" t="s">
        <v>213</v>
      </c>
      <c r="E47" s="399" t="s">
        <v>992</v>
      </c>
      <c r="F47" s="392" t="s">
        <v>132</v>
      </c>
      <c r="G47" s="397">
        <f>G48</f>
        <v>40.5</v>
      </c>
      <c r="H47" s="397">
        <f>H48</f>
        <v>40.5</v>
      </c>
      <c r="I47" s="192"/>
    </row>
    <row r="48" spans="1:9" ht="31.5" x14ac:dyDescent="0.25">
      <c r="A48" s="396" t="s">
        <v>133</v>
      </c>
      <c r="B48" s="390">
        <v>902</v>
      </c>
      <c r="C48" s="392" t="s">
        <v>118</v>
      </c>
      <c r="D48" s="392" t="s">
        <v>213</v>
      </c>
      <c r="E48" s="399" t="s">
        <v>696</v>
      </c>
      <c r="F48" s="392" t="s">
        <v>134</v>
      </c>
      <c r="G48" s="397">
        <f>0.5+40</f>
        <v>40.5</v>
      </c>
      <c r="H48" s="397">
        <f>G48</f>
        <v>40.5</v>
      </c>
      <c r="I48" s="192"/>
    </row>
    <row r="49" spans="1:9" ht="47.25" hidden="1" x14ac:dyDescent="0.25">
      <c r="A49" s="31" t="s">
        <v>695</v>
      </c>
      <c r="B49" s="390">
        <v>902</v>
      </c>
      <c r="C49" s="392" t="s">
        <v>118</v>
      </c>
      <c r="D49" s="392" t="s">
        <v>213</v>
      </c>
      <c r="E49" s="392" t="s">
        <v>991</v>
      </c>
      <c r="F49" s="392"/>
      <c r="G49" s="397">
        <f>G50</f>
        <v>0</v>
      </c>
      <c r="H49" s="397">
        <f>H50</f>
        <v>0</v>
      </c>
      <c r="I49" s="192"/>
    </row>
    <row r="50" spans="1:9" ht="31.5" hidden="1" x14ac:dyDescent="0.25">
      <c r="A50" s="396" t="s">
        <v>131</v>
      </c>
      <c r="B50" s="390">
        <v>902</v>
      </c>
      <c r="C50" s="392" t="s">
        <v>118</v>
      </c>
      <c r="D50" s="392" t="s">
        <v>213</v>
      </c>
      <c r="E50" s="392" t="s">
        <v>991</v>
      </c>
      <c r="F50" s="392" t="s">
        <v>132</v>
      </c>
      <c r="G50" s="397">
        <f>G51</f>
        <v>0</v>
      </c>
      <c r="H50" s="397">
        <f>H51</f>
        <v>0</v>
      </c>
      <c r="I50" s="192"/>
    </row>
    <row r="51" spans="1:9" ht="31.5" hidden="1" x14ac:dyDescent="0.25">
      <c r="A51" s="396" t="s">
        <v>133</v>
      </c>
      <c r="B51" s="390">
        <v>902</v>
      </c>
      <c r="C51" s="392" t="s">
        <v>118</v>
      </c>
      <c r="D51" s="392" t="s">
        <v>213</v>
      </c>
      <c r="E51" s="392" t="s">
        <v>991</v>
      </c>
      <c r="F51" s="392" t="s">
        <v>134</v>
      </c>
      <c r="G51" s="397"/>
      <c r="H51" s="397"/>
      <c r="I51" s="192"/>
    </row>
    <row r="52" spans="1:9" ht="63" x14ac:dyDescent="0.25">
      <c r="A52" s="394" t="s">
        <v>149</v>
      </c>
      <c r="B52" s="391">
        <v>902</v>
      </c>
      <c r="C52" s="395" t="s">
        <v>118</v>
      </c>
      <c r="D52" s="395" t="s">
        <v>150</v>
      </c>
      <c r="E52" s="395"/>
      <c r="F52" s="395"/>
      <c r="G52" s="393">
        <f>G53+G89</f>
        <v>44810.21</v>
      </c>
      <c r="H52" s="393">
        <f>H53+H89</f>
        <v>31621.519999999997</v>
      </c>
      <c r="I52" s="192"/>
    </row>
    <row r="53" spans="1:9" ht="31.5" x14ac:dyDescent="0.25">
      <c r="A53" s="394" t="s">
        <v>916</v>
      </c>
      <c r="B53" s="391">
        <v>902</v>
      </c>
      <c r="C53" s="395" t="s">
        <v>118</v>
      </c>
      <c r="D53" s="395" t="s">
        <v>150</v>
      </c>
      <c r="E53" s="395" t="s">
        <v>857</v>
      </c>
      <c r="F53" s="395"/>
      <c r="G53" s="44">
        <f>G54+G70</f>
        <v>44126.71</v>
      </c>
      <c r="H53" s="44">
        <f>H54+H70</f>
        <v>30938.019999999997</v>
      </c>
      <c r="I53" s="192"/>
    </row>
    <row r="54" spans="1:9" ht="15.75" x14ac:dyDescent="0.25">
      <c r="A54" s="394" t="s">
        <v>917</v>
      </c>
      <c r="B54" s="391">
        <v>902</v>
      </c>
      <c r="C54" s="395" t="s">
        <v>118</v>
      </c>
      <c r="D54" s="395" t="s">
        <v>150</v>
      </c>
      <c r="E54" s="395" t="s">
        <v>858</v>
      </c>
      <c r="F54" s="395"/>
      <c r="G54" s="44">
        <f>G55+G64+G67</f>
        <v>40818.11</v>
      </c>
      <c r="H54" s="44">
        <f>H55+H64+H67</f>
        <v>27844.92</v>
      </c>
      <c r="I54" s="192"/>
    </row>
    <row r="55" spans="1:9" ht="31.5" x14ac:dyDescent="0.25">
      <c r="A55" s="396" t="s">
        <v>896</v>
      </c>
      <c r="B55" s="390">
        <v>902</v>
      </c>
      <c r="C55" s="392" t="s">
        <v>118</v>
      </c>
      <c r="D55" s="392" t="s">
        <v>150</v>
      </c>
      <c r="E55" s="392" t="s">
        <v>859</v>
      </c>
      <c r="F55" s="392"/>
      <c r="G55" s="397">
        <f>G56+G58+G60+G62</f>
        <v>37155.71</v>
      </c>
      <c r="H55" s="397">
        <f>H56+H58+H60+H62</f>
        <v>24182.519999999997</v>
      </c>
      <c r="I55" s="192"/>
    </row>
    <row r="56" spans="1:9" ht="78.75" x14ac:dyDescent="0.25">
      <c r="A56" s="396" t="s">
        <v>127</v>
      </c>
      <c r="B56" s="390">
        <v>902</v>
      </c>
      <c r="C56" s="392" t="s">
        <v>118</v>
      </c>
      <c r="D56" s="392" t="s">
        <v>150</v>
      </c>
      <c r="E56" s="392" t="s">
        <v>859</v>
      </c>
      <c r="F56" s="392" t="s">
        <v>128</v>
      </c>
      <c r="G56" s="397">
        <f>G57</f>
        <v>31521.309999999998</v>
      </c>
      <c r="H56" s="397">
        <f>H57</f>
        <v>18548.12</v>
      </c>
      <c r="I56" s="192"/>
    </row>
    <row r="57" spans="1:9" ht="31.5" x14ac:dyDescent="0.25">
      <c r="A57" s="396" t="s">
        <v>129</v>
      </c>
      <c r="B57" s="390">
        <v>902</v>
      </c>
      <c r="C57" s="392" t="s">
        <v>118</v>
      </c>
      <c r="D57" s="392" t="s">
        <v>150</v>
      </c>
      <c r="E57" s="392" t="s">
        <v>859</v>
      </c>
      <c r="F57" s="392" t="s">
        <v>130</v>
      </c>
      <c r="G57" s="397">
        <f>44000-G9</f>
        <v>31521.309999999998</v>
      </c>
      <c r="H57" s="397">
        <f>44000-H9</f>
        <v>18548.12</v>
      </c>
      <c r="I57" s="192"/>
    </row>
    <row r="58" spans="1:9" ht="31.5" x14ac:dyDescent="0.25">
      <c r="A58" s="396" t="s">
        <v>131</v>
      </c>
      <c r="B58" s="390">
        <v>902</v>
      </c>
      <c r="C58" s="392" t="s">
        <v>118</v>
      </c>
      <c r="D58" s="392" t="s">
        <v>150</v>
      </c>
      <c r="E58" s="392" t="s">
        <v>859</v>
      </c>
      <c r="F58" s="392" t="s">
        <v>132</v>
      </c>
      <c r="G58" s="397">
        <f>G59</f>
        <v>5559.4</v>
      </c>
      <c r="H58" s="397">
        <f>H59</f>
        <v>5559.4</v>
      </c>
      <c r="I58" s="192"/>
    </row>
    <row r="59" spans="1:9" ht="31.5" x14ac:dyDescent="0.25">
      <c r="A59" s="396" t="s">
        <v>133</v>
      </c>
      <c r="B59" s="390">
        <v>902</v>
      </c>
      <c r="C59" s="392" t="s">
        <v>118</v>
      </c>
      <c r="D59" s="392" t="s">
        <v>150</v>
      </c>
      <c r="E59" s="392" t="s">
        <v>859</v>
      </c>
      <c r="F59" s="392" t="s">
        <v>134</v>
      </c>
      <c r="G59" s="397">
        <v>5559.4</v>
      </c>
      <c r="H59" s="397">
        <f>G59</f>
        <v>5559.4</v>
      </c>
      <c r="I59" s="192"/>
    </row>
    <row r="60" spans="1:9" ht="31.5" hidden="1" x14ac:dyDescent="0.25">
      <c r="A60" s="396" t="s">
        <v>248</v>
      </c>
      <c r="B60" s="390">
        <v>902</v>
      </c>
      <c r="C60" s="392" t="s">
        <v>118</v>
      </c>
      <c r="D60" s="392" t="s">
        <v>150</v>
      </c>
      <c r="E60" s="392" t="s">
        <v>859</v>
      </c>
      <c r="F60" s="392" t="s">
        <v>249</v>
      </c>
      <c r="G60" s="397">
        <f>G61</f>
        <v>0</v>
      </c>
      <c r="H60" s="397">
        <f>H61</f>
        <v>0</v>
      </c>
      <c r="I60" s="192"/>
    </row>
    <row r="61" spans="1:9" ht="31.5" hidden="1" x14ac:dyDescent="0.25">
      <c r="A61" s="396" t="s">
        <v>250</v>
      </c>
      <c r="B61" s="390">
        <v>902</v>
      </c>
      <c r="C61" s="392" t="s">
        <v>118</v>
      </c>
      <c r="D61" s="392" t="s">
        <v>150</v>
      </c>
      <c r="E61" s="392" t="s">
        <v>859</v>
      </c>
      <c r="F61" s="392" t="s">
        <v>251</v>
      </c>
      <c r="G61" s="397">
        <v>0</v>
      </c>
      <c r="H61" s="397">
        <f t="shared" si="1"/>
        <v>0</v>
      </c>
      <c r="I61" s="192"/>
    </row>
    <row r="62" spans="1:9" ht="15.75" x14ac:dyDescent="0.25">
      <c r="A62" s="396" t="s">
        <v>135</v>
      </c>
      <c r="B62" s="390">
        <v>902</v>
      </c>
      <c r="C62" s="392" t="s">
        <v>118</v>
      </c>
      <c r="D62" s="392" t="s">
        <v>150</v>
      </c>
      <c r="E62" s="392" t="s">
        <v>859</v>
      </c>
      <c r="F62" s="392" t="s">
        <v>145</v>
      </c>
      <c r="G62" s="397">
        <f>G63</f>
        <v>75</v>
      </c>
      <c r="H62" s="397">
        <f>H63</f>
        <v>75</v>
      </c>
      <c r="I62" s="192"/>
    </row>
    <row r="63" spans="1:9" ht="15.75" x14ac:dyDescent="0.25">
      <c r="A63" s="396" t="s">
        <v>568</v>
      </c>
      <c r="B63" s="390">
        <v>902</v>
      </c>
      <c r="C63" s="392" t="s">
        <v>118</v>
      </c>
      <c r="D63" s="392" t="s">
        <v>150</v>
      </c>
      <c r="E63" s="392" t="s">
        <v>859</v>
      </c>
      <c r="F63" s="392" t="s">
        <v>138</v>
      </c>
      <c r="G63" s="397">
        <v>75</v>
      </c>
      <c r="H63" s="397">
        <f t="shared" si="1"/>
        <v>75</v>
      </c>
      <c r="I63" s="192"/>
    </row>
    <row r="64" spans="1:9" ht="31.5" x14ac:dyDescent="0.25">
      <c r="A64" s="396" t="s">
        <v>839</v>
      </c>
      <c r="B64" s="390">
        <v>902</v>
      </c>
      <c r="C64" s="392" t="s">
        <v>118</v>
      </c>
      <c r="D64" s="392" t="s">
        <v>150</v>
      </c>
      <c r="E64" s="392" t="s">
        <v>860</v>
      </c>
      <c r="F64" s="392"/>
      <c r="G64" s="397">
        <f>G65</f>
        <v>2071.4</v>
      </c>
      <c r="H64" s="397">
        <f t="shared" si="1"/>
        <v>2071.4</v>
      </c>
      <c r="I64" s="192"/>
    </row>
    <row r="65" spans="1:9" ht="78.75" x14ac:dyDescent="0.25">
      <c r="A65" s="396" t="s">
        <v>127</v>
      </c>
      <c r="B65" s="390">
        <v>902</v>
      </c>
      <c r="C65" s="392" t="s">
        <v>118</v>
      </c>
      <c r="D65" s="392" t="s">
        <v>150</v>
      </c>
      <c r="E65" s="392" t="s">
        <v>860</v>
      </c>
      <c r="F65" s="392" t="s">
        <v>128</v>
      </c>
      <c r="G65" s="397">
        <f>G66</f>
        <v>2071.4</v>
      </c>
      <c r="H65" s="397">
        <f>H66</f>
        <v>2071.4</v>
      </c>
      <c r="I65" s="192"/>
    </row>
    <row r="66" spans="1:9" ht="31.5" x14ac:dyDescent="0.25">
      <c r="A66" s="396" t="s">
        <v>129</v>
      </c>
      <c r="B66" s="390">
        <v>902</v>
      </c>
      <c r="C66" s="392" t="s">
        <v>118</v>
      </c>
      <c r="D66" s="392" t="s">
        <v>150</v>
      </c>
      <c r="E66" s="392" t="s">
        <v>860</v>
      </c>
      <c r="F66" s="392" t="s">
        <v>130</v>
      </c>
      <c r="G66" s="397">
        <v>2071.4</v>
      </c>
      <c r="H66" s="397">
        <f t="shared" si="1"/>
        <v>2071.4</v>
      </c>
      <c r="I66" s="192"/>
    </row>
    <row r="67" spans="1:9" ht="47.25" x14ac:dyDescent="0.25">
      <c r="A67" s="396" t="s">
        <v>838</v>
      </c>
      <c r="B67" s="390">
        <v>902</v>
      </c>
      <c r="C67" s="392" t="s">
        <v>118</v>
      </c>
      <c r="D67" s="392" t="s">
        <v>150</v>
      </c>
      <c r="E67" s="392" t="s">
        <v>861</v>
      </c>
      <c r="F67" s="392"/>
      <c r="G67" s="397">
        <f>G68</f>
        <v>1591</v>
      </c>
      <c r="H67" s="397">
        <f>H68</f>
        <v>1591</v>
      </c>
      <c r="I67" s="192"/>
    </row>
    <row r="68" spans="1:9" ht="78.75" x14ac:dyDescent="0.25">
      <c r="A68" s="396" t="s">
        <v>127</v>
      </c>
      <c r="B68" s="390">
        <v>902</v>
      </c>
      <c r="C68" s="392" t="s">
        <v>118</v>
      </c>
      <c r="D68" s="392" t="s">
        <v>150</v>
      </c>
      <c r="E68" s="392" t="s">
        <v>861</v>
      </c>
      <c r="F68" s="392" t="s">
        <v>128</v>
      </c>
      <c r="G68" s="397">
        <f>G69</f>
        <v>1591</v>
      </c>
      <c r="H68" s="397">
        <f>H69</f>
        <v>1591</v>
      </c>
      <c r="I68" s="192"/>
    </row>
    <row r="69" spans="1:9" ht="31.5" x14ac:dyDescent="0.25">
      <c r="A69" s="396" t="s">
        <v>129</v>
      </c>
      <c r="B69" s="390">
        <v>902</v>
      </c>
      <c r="C69" s="392" t="s">
        <v>118</v>
      </c>
      <c r="D69" s="392" t="s">
        <v>150</v>
      </c>
      <c r="E69" s="392" t="s">
        <v>861</v>
      </c>
      <c r="F69" s="392" t="s">
        <v>130</v>
      </c>
      <c r="G69" s="397">
        <v>1591</v>
      </c>
      <c r="H69" s="397">
        <f t="shared" si="1"/>
        <v>1591</v>
      </c>
      <c r="I69" s="192"/>
    </row>
    <row r="70" spans="1:9" ht="31.5" x14ac:dyDescent="0.25">
      <c r="A70" s="394" t="s">
        <v>884</v>
      </c>
      <c r="B70" s="391">
        <v>902</v>
      </c>
      <c r="C70" s="395" t="s">
        <v>118</v>
      </c>
      <c r="D70" s="395" t="s">
        <v>150</v>
      </c>
      <c r="E70" s="395" t="s">
        <v>862</v>
      </c>
      <c r="F70" s="395"/>
      <c r="G70" s="393">
        <f>G71+G74+G79+G84</f>
        <v>3308.6</v>
      </c>
      <c r="H70" s="393">
        <f>H71+H74+H79+H84</f>
        <v>3093.1</v>
      </c>
      <c r="I70" s="192"/>
    </row>
    <row r="71" spans="1:9" ht="47.25" hidden="1" x14ac:dyDescent="0.25">
      <c r="A71" s="396" t="s">
        <v>779</v>
      </c>
      <c r="B71" s="390">
        <v>902</v>
      </c>
      <c r="C71" s="392" t="s">
        <v>118</v>
      </c>
      <c r="D71" s="392" t="s">
        <v>150</v>
      </c>
      <c r="E71" s="392" t="s">
        <v>918</v>
      </c>
      <c r="F71" s="395"/>
      <c r="G71" s="397">
        <f>G72</f>
        <v>0</v>
      </c>
      <c r="H71" s="397">
        <f>H72</f>
        <v>0</v>
      </c>
      <c r="I71" s="192"/>
    </row>
    <row r="72" spans="1:9" ht="31.5" hidden="1" x14ac:dyDescent="0.25">
      <c r="A72" s="396" t="s">
        <v>131</v>
      </c>
      <c r="B72" s="390">
        <v>902</v>
      </c>
      <c r="C72" s="392" t="s">
        <v>118</v>
      </c>
      <c r="D72" s="392" t="s">
        <v>150</v>
      </c>
      <c r="E72" s="392" t="s">
        <v>918</v>
      </c>
      <c r="F72" s="392" t="s">
        <v>132</v>
      </c>
      <c r="G72" s="397">
        <f>G73</f>
        <v>0</v>
      </c>
      <c r="H72" s="397">
        <f>H73</f>
        <v>0</v>
      </c>
      <c r="I72" s="192"/>
    </row>
    <row r="73" spans="1:9" ht="31.5" hidden="1" x14ac:dyDescent="0.25">
      <c r="A73" s="396" t="s">
        <v>133</v>
      </c>
      <c r="B73" s="390">
        <v>902</v>
      </c>
      <c r="C73" s="392" t="s">
        <v>118</v>
      </c>
      <c r="D73" s="392" t="s">
        <v>150</v>
      </c>
      <c r="E73" s="392" t="s">
        <v>918</v>
      </c>
      <c r="F73" s="392" t="s">
        <v>134</v>
      </c>
      <c r="G73" s="337">
        <v>0</v>
      </c>
      <c r="H73" s="337">
        <v>0</v>
      </c>
      <c r="I73" s="192"/>
    </row>
    <row r="74" spans="1:9" ht="47.25" x14ac:dyDescent="0.25">
      <c r="A74" s="31" t="s">
        <v>189</v>
      </c>
      <c r="B74" s="390">
        <v>902</v>
      </c>
      <c r="C74" s="392" t="s">
        <v>118</v>
      </c>
      <c r="D74" s="392" t="s">
        <v>150</v>
      </c>
      <c r="E74" s="392" t="s">
        <v>919</v>
      </c>
      <c r="F74" s="392"/>
      <c r="G74" s="397">
        <f>G75+G77</f>
        <v>563.20000000000005</v>
      </c>
      <c r="H74" s="397">
        <f>H75+H77</f>
        <v>347.7</v>
      </c>
      <c r="I74" s="192"/>
    </row>
    <row r="75" spans="1:9" ht="78.75" x14ac:dyDescent="0.25">
      <c r="A75" s="396" t="s">
        <v>127</v>
      </c>
      <c r="B75" s="390">
        <v>902</v>
      </c>
      <c r="C75" s="392" t="s">
        <v>118</v>
      </c>
      <c r="D75" s="392" t="s">
        <v>150</v>
      </c>
      <c r="E75" s="392" t="s">
        <v>919</v>
      </c>
      <c r="F75" s="392" t="s">
        <v>128</v>
      </c>
      <c r="G75" s="397">
        <f>G76</f>
        <v>563.20000000000005</v>
      </c>
      <c r="H75" s="397">
        <f>H76</f>
        <v>347.7</v>
      </c>
      <c r="I75" s="192"/>
    </row>
    <row r="76" spans="1:9" ht="31.5" x14ac:dyDescent="0.25">
      <c r="A76" s="396" t="s">
        <v>129</v>
      </c>
      <c r="B76" s="390">
        <v>902</v>
      </c>
      <c r="C76" s="392" t="s">
        <v>118</v>
      </c>
      <c r="D76" s="392" t="s">
        <v>150</v>
      </c>
      <c r="E76" s="392" t="s">
        <v>919</v>
      </c>
      <c r="F76" s="392" t="s">
        <v>130</v>
      </c>
      <c r="G76" s="397">
        <v>563.20000000000005</v>
      </c>
      <c r="H76" s="397">
        <v>347.7</v>
      </c>
      <c r="I76" s="192"/>
    </row>
    <row r="77" spans="1:9" ht="31.5" hidden="1" x14ac:dyDescent="0.25">
      <c r="A77" s="396" t="s">
        <v>131</v>
      </c>
      <c r="B77" s="390">
        <v>902</v>
      </c>
      <c r="C77" s="392" t="s">
        <v>118</v>
      </c>
      <c r="D77" s="392" t="s">
        <v>150</v>
      </c>
      <c r="E77" s="392" t="s">
        <v>919</v>
      </c>
      <c r="F77" s="392" t="s">
        <v>132</v>
      </c>
      <c r="G77" s="397">
        <f>G78</f>
        <v>0</v>
      </c>
      <c r="H77" s="397">
        <f>H78</f>
        <v>0</v>
      </c>
      <c r="I77" s="192"/>
    </row>
    <row r="78" spans="1:9" ht="31.5" hidden="1" x14ac:dyDescent="0.25">
      <c r="A78" s="396" t="s">
        <v>133</v>
      </c>
      <c r="B78" s="390">
        <v>902</v>
      </c>
      <c r="C78" s="392" t="s">
        <v>118</v>
      </c>
      <c r="D78" s="392" t="s">
        <v>150</v>
      </c>
      <c r="E78" s="392" t="s">
        <v>919</v>
      </c>
      <c r="F78" s="392" t="s">
        <v>134</v>
      </c>
      <c r="G78" s="337">
        <v>0</v>
      </c>
      <c r="H78" s="337">
        <v>0</v>
      </c>
      <c r="I78" s="192"/>
    </row>
    <row r="79" spans="1:9" ht="47.25" x14ac:dyDescent="0.25">
      <c r="A79" s="31" t="s">
        <v>194</v>
      </c>
      <c r="B79" s="390">
        <v>902</v>
      </c>
      <c r="C79" s="392" t="s">
        <v>118</v>
      </c>
      <c r="D79" s="392" t="s">
        <v>150</v>
      </c>
      <c r="E79" s="392" t="s">
        <v>1028</v>
      </c>
      <c r="F79" s="392"/>
      <c r="G79" s="397">
        <f>G80+G82</f>
        <v>1411.1</v>
      </c>
      <c r="H79" s="397">
        <f>H80+H82</f>
        <v>1411.1</v>
      </c>
      <c r="I79" s="192"/>
    </row>
    <row r="80" spans="1:9" ht="78.75" x14ac:dyDescent="0.25">
      <c r="A80" s="396" t="s">
        <v>127</v>
      </c>
      <c r="B80" s="390">
        <v>902</v>
      </c>
      <c r="C80" s="392" t="s">
        <v>118</v>
      </c>
      <c r="D80" s="392" t="s">
        <v>150</v>
      </c>
      <c r="E80" s="392" t="s">
        <v>1028</v>
      </c>
      <c r="F80" s="392" t="s">
        <v>128</v>
      </c>
      <c r="G80" s="397">
        <f>G81</f>
        <v>1372.1</v>
      </c>
      <c r="H80" s="397">
        <f>H81</f>
        <v>1372.1</v>
      </c>
      <c r="I80" s="192"/>
    </row>
    <row r="81" spans="1:9" ht="31.5" x14ac:dyDescent="0.25">
      <c r="A81" s="396" t="s">
        <v>129</v>
      </c>
      <c r="B81" s="390">
        <v>902</v>
      </c>
      <c r="C81" s="392" t="s">
        <v>118</v>
      </c>
      <c r="D81" s="392" t="s">
        <v>150</v>
      </c>
      <c r="E81" s="392" t="s">
        <v>1028</v>
      </c>
      <c r="F81" s="392" t="s">
        <v>130</v>
      </c>
      <c r="G81" s="397">
        <f>1372.1</f>
        <v>1372.1</v>
      </c>
      <c r="H81" s="397">
        <f t="shared" si="1"/>
        <v>1372.1</v>
      </c>
      <c r="I81" s="192"/>
    </row>
    <row r="82" spans="1:9" ht="31.5" x14ac:dyDescent="0.25">
      <c r="A82" s="396" t="s">
        <v>131</v>
      </c>
      <c r="B82" s="390">
        <v>902</v>
      </c>
      <c r="C82" s="392" t="s">
        <v>118</v>
      </c>
      <c r="D82" s="392" t="s">
        <v>150</v>
      </c>
      <c r="E82" s="392" t="s">
        <v>1028</v>
      </c>
      <c r="F82" s="392" t="s">
        <v>132</v>
      </c>
      <c r="G82" s="397">
        <f>G83</f>
        <v>39</v>
      </c>
      <c r="H82" s="397">
        <f>H83</f>
        <v>39</v>
      </c>
      <c r="I82" s="192"/>
    </row>
    <row r="83" spans="1:9" ht="31.5" x14ac:dyDescent="0.25">
      <c r="A83" s="396" t="s">
        <v>133</v>
      </c>
      <c r="B83" s="390">
        <v>902</v>
      </c>
      <c r="C83" s="392" t="s">
        <v>118</v>
      </c>
      <c r="D83" s="392" t="s">
        <v>150</v>
      </c>
      <c r="E83" s="392" t="s">
        <v>1028</v>
      </c>
      <c r="F83" s="392" t="s">
        <v>134</v>
      </c>
      <c r="G83" s="397">
        <f>61.2-19.5-2.7</f>
        <v>39</v>
      </c>
      <c r="H83" s="397">
        <f t="shared" si="1"/>
        <v>39</v>
      </c>
      <c r="I83" s="192"/>
    </row>
    <row r="84" spans="1:9" ht="47.25" x14ac:dyDescent="0.25">
      <c r="A84" s="31" t="s">
        <v>196</v>
      </c>
      <c r="B84" s="390">
        <v>902</v>
      </c>
      <c r="C84" s="392" t="s">
        <v>118</v>
      </c>
      <c r="D84" s="392" t="s">
        <v>150</v>
      </c>
      <c r="E84" s="392" t="s">
        <v>920</v>
      </c>
      <c r="F84" s="392"/>
      <c r="G84" s="397">
        <f>G85+G87</f>
        <v>1334.3</v>
      </c>
      <c r="H84" s="397">
        <f>H85+H87</f>
        <v>1334.3</v>
      </c>
      <c r="I84" s="192"/>
    </row>
    <row r="85" spans="1:9" ht="78.75" x14ac:dyDescent="0.25">
      <c r="A85" s="396" t="s">
        <v>127</v>
      </c>
      <c r="B85" s="390">
        <v>902</v>
      </c>
      <c r="C85" s="392" t="s">
        <v>118</v>
      </c>
      <c r="D85" s="392" t="s">
        <v>150</v>
      </c>
      <c r="E85" s="392" t="s">
        <v>920</v>
      </c>
      <c r="F85" s="392" t="s">
        <v>128</v>
      </c>
      <c r="G85" s="397">
        <f>G86</f>
        <v>1300.3</v>
      </c>
      <c r="H85" s="397">
        <f>H86</f>
        <v>1300.3</v>
      </c>
      <c r="I85" s="192"/>
    </row>
    <row r="86" spans="1:9" ht="31.5" x14ac:dyDescent="0.25">
      <c r="A86" s="396" t="s">
        <v>129</v>
      </c>
      <c r="B86" s="390">
        <v>902</v>
      </c>
      <c r="C86" s="392" t="s">
        <v>118</v>
      </c>
      <c r="D86" s="392" t="s">
        <v>150</v>
      </c>
      <c r="E86" s="392" t="s">
        <v>920</v>
      </c>
      <c r="F86" s="392" t="s">
        <v>130</v>
      </c>
      <c r="G86" s="397">
        <v>1300.3</v>
      </c>
      <c r="H86" s="397">
        <f t="shared" si="1"/>
        <v>1300.3</v>
      </c>
      <c r="I86" s="192"/>
    </row>
    <row r="87" spans="1:9" ht="31.5" x14ac:dyDescent="0.25">
      <c r="A87" s="396" t="s">
        <v>198</v>
      </c>
      <c r="B87" s="390">
        <v>902</v>
      </c>
      <c r="C87" s="392" t="s">
        <v>118</v>
      </c>
      <c r="D87" s="392" t="s">
        <v>150</v>
      </c>
      <c r="E87" s="392" t="s">
        <v>920</v>
      </c>
      <c r="F87" s="392" t="s">
        <v>132</v>
      </c>
      <c r="G87" s="397">
        <f>G88</f>
        <v>34</v>
      </c>
      <c r="H87" s="397">
        <f>H88</f>
        <v>34</v>
      </c>
      <c r="I87" s="192"/>
    </row>
    <row r="88" spans="1:9" ht="31.5" x14ac:dyDescent="0.25">
      <c r="A88" s="396" t="s">
        <v>133</v>
      </c>
      <c r="B88" s="390">
        <v>902</v>
      </c>
      <c r="C88" s="392" t="s">
        <v>118</v>
      </c>
      <c r="D88" s="392" t="s">
        <v>150</v>
      </c>
      <c r="E88" s="392" t="s">
        <v>920</v>
      </c>
      <c r="F88" s="392" t="s">
        <v>134</v>
      </c>
      <c r="G88" s="397">
        <v>34</v>
      </c>
      <c r="H88" s="397">
        <f t="shared" si="1"/>
        <v>34</v>
      </c>
      <c r="I88" s="192"/>
    </row>
    <row r="89" spans="1:9" ht="47.25" x14ac:dyDescent="0.25">
      <c r="A89" s="394" t="s">
        <v>1363</v>
      </c>
      <c r="B89" s="391">
        <v>902</v>
      </c>
      <c r="C89" s="395" t="s">
        <v>118</v>
      </c>
      <c r="D89" s="395" t="s">
        <v>150</v>
      </c>
      <c r="E89" s="395" t="s">
        <v>162</v>
      </c>
      <c r="F89" s="395"/>
      <c r="G89" s="393">
        <f>G90+G94+G106</f>
        <v>683.5</v>
      </c>
      <c r="H89" s="393">
        <f>H90+H94+H106</f>
        <v>683.5</v>
      </c>
      <c r="I89" s="192"/>
    </row>
    <row r="90" spans="1:9" ht="63" x14ac:dyDescent="0.25">
      <c r="A90" s="269" t="s">
        <v>1338</v>
      </c>
      <c r="B90" s="391">
        <v>902</v>
      </c>
      <c r="C90" s="395" t="s">
        <v>118</v>
      </c>
      <c r="D90" s="395" t="s">
        <v>150</v>
      </c>
      <c r="E90" s="7" t="s">
        <v>848</v>
      </c>
      <c r="F90" s="395"/>
      <c r="G90" s="393">
        <f t="shared" ref="G90:H92" si="3">G91</f>
        <v>606</v>
      </c>
      <c r="H90" s="393">
        <f t="shared" si="3"/>
        <v>606</v>
      </c>
      <c r="I90" s="192"/>
    </row>
    <row r="91" spans="1:9" ht="47.25" x14ac:dyDescent="0.25">
      <c r="A91" s="29" t="s">
        <v>1306</v>
      </c>
      <c r="B91" s="390">
        <v>902</v>
      </c>
      <c r="C91" s="392" t="s">
        <v>118</v>
      </c>
      <c r="D91" s="392" t="s">
        <v>150</v>
      </c>
      <c r="E91" s="399" t="s">
        <v>840</v>
      </c>
      <c r="F91" s="392"/>
      <c r="G91" s="397">
        <f t="shared" si="3"/>
        <v>606</v>
      </c>
      <c r="H91" s="397">
        <f t="shared" si="3"/>
        <v>606</v>
      </c>
      <c r="I91" s="192"/>
    </row>
    <row r="92" spans="1:9" ht="31.5" x14ac:dyDescent="0.25">
      <c r="A92" s="396" t="s">
        <v>131</v>
      </c>
      <c r="B92" s="390">
        <v>902</v>
      </c>
      <c r="C92" s="392" t="s">
        <v>118</v>
      </c>
      <c r="D92" s="392" t="s">
        <v>150</v>
      </c>
      <c r="E92" s="399" t="s">
        <v>840</v>
      </c>
      <c r="F92" s="392" t="s">
        <v>132</v>
      </c>
      <c r="G92" s="397">
        <f t="shared" si="3"/>
        <v>606</v>
      </c>
      <c r="H92" s="397">
        <f t="shared" si="3"/>
        <v>606</v>
      </c>
      <c r="I92" s="192"/>
    </row>
    <row r="93" spans="1:9" ht="31.5" x14ac:dyDescent="0.25">
      <c r="A93" s="396" t="s">
        <v>133</v>
      </c>
      <c r="B93" s="390">
        <v>902</v>
      </c>
      <c r="C93" s="392" t="s">
        <v>118</v>
      </c>
      <c r="D93" s="392" t="s">
        <v>150</v>
      </c>
      <c r="E93" s="399" t="s">
        <v>840</v>
      </c>
      <c r="F93" s="392" t="s">
        <v>134</v>
      </c>
      <c r="G93" s="397">
        <v>606</v>
      </c>
      <c r="H93" s="397">
        <f t="shared" si="1"/>
        <v>606</v>
      </c>
      <c r="I93" s="192"/>
    </row>
    <row r="94" spans="1:9" ht="63" x14ac:dyDescent="0.25">
      <c r="A94" s="204" t="s">
        <v>842</v>
      </c>
      <c r="B94" s="391">
        <v>902</v>
      </c>
      <c r="C94" s="395" t="s">
        <v>118</v>
      </c>
      <c r="D94" s="395" t="s">
        <v>150</v>
      </c>
      <c r="E94" s="7" t="s">
        <v>849</v>
      </c>
      <c r="F94" s="395"/>
      <c r="G94" s="393">
        <f>G95+G100+G103</f>
        <v>77</v>
      </c>
      <c r="H94" s="393">
        <f>H95+H100+H103</f>
        <v>77</v>
      </c>
      <c r="I94" s="192"/>
    </row>
    <row r="95" spans="1:9" ht="47.25" x14ac:dyDescent="0.25">
      <c r="A95" s="172" t="s">
        <v>165</v>
      </c>
      <c r="B95" s="390">
        <v>902</v>
      </c>
      <c r="C95" s="392" t="s">
        <v>118</v>
      </c>
      <c r="D95" s="392" t="s">
        <v>150</v>
      </c>
      <c r="E95" s="399" t="s">
        <v>841</v>
      </c>
      <c r="F95" s="392"/>
      <c r="G95" s="397">
        <f>G96+G98</f>
        <v>77</v>
      </c>
      <c r="H95" s="397">
        <f>H96+H98</f>
        <v>77</v>
      </c>
      <c r="I95" s="192"/>
    </row>
    <row r="96" spans="1:9" ht="78.75" x14ac:dyDescent="0.25">
      <c r="A96" s="396" t="s">
        <v>127</v>
      </c>
      <c r="B96" s="390">
        <v>902</v>
      </c>
      <c r="C96" s="392" t="s">
        <v>118</v>
      </c>
      <c r="D96" s="392" t="s">
        <v>150</v>
      </c>
      <c r="E96" s="399" t="s">
        <v>841</v>
      </c>
      <c r="F96" s="392" t="s">
        <v>128</v>
      </c>
      <c r="G96" s="397">
        <f>G97</f>
        <v>37</v>
      </c>
      <c r="H96" s="397">
        <f>H97</f>
        <v>37</v>
      </c>
      <c r="I96" s="192"/>
    </row>
    <row r="97" spans="1:9" ht="31.5" x14ac:dyDescent="0.25">
      <c r="A97" s="396" t="s">
        <v>129</v>
      </c>
      <c r="B97" s="390">
        <v>902</v>
      </c>
      <c r="C97" s="392" t="s">
        <v>118</v>
      </c>
      <c r="D97" s="392" t="s">
        <v>150</v>
      </c>
      <c r="E97" s="399" t="s">
        <v>841</v>
      </c>
      <c r="F97" s="392" t="s">
        <v>130</v>
      </c>
      <c r="G97" s="397">
        <f>37</f>
        <v>37</v>
      </c>
      <c r="H97" s="397">
        <f t="shared" si="1"/>
        <v>37</v>
      </c>
      <c r="I97" s="192"/>
    </row>
    <row r="98" spans="1:9" ht="31.5" x14ac:dyDescent="0.25">
      <c r="A98" s="396" t="s">
        <v>131</v>
      </c>
      <c r="B98" s="390">
        <v>902</v>
      </c>
      <c r="C98" s="392" t="s">
        <v>118</v>
      </c>
      <c r="D98" s="392" t="s">
        <v>150</v>
      </c>
      <c r="E98" s="399" t="s">
        <v>841</v>
      </c>
      <c r="F98" s="392" t="s">
        <v>132</v>
      </c>
      <c r="G98" s="397">
        <f>G99</f>
        <v>40</v>
      </c>
      <c r="H98" s="397">
        <f>H99</f>
        <v>40</v>
      </c>
      <c r="I98" s="192"/>
    </row>
    <row r="99" spans="1:9" ht="31.5" x14ac:dyDescent="0.25">
      <c r="A99" s="396" t="s">
        <v>133</v>
      </c>
      <c r="B99" s="390">
        <v>902</v>
      </c>
      <c r="C99" s="392" t="s">
        <v>118</v>
      </c>
      <c r="D99" s="392" t="s">
        <v>150</v>
      </c>
      <c r="E99" s="399" t="s">
        <v>841</v>
      </c>
      <c r="F99" s="392" t="s">
        <v>134</v>
      </c>
      <c r="G99" s="397">
        <f>40</f>
        <v>40</v>
      </c>
      <c r="H99" s="397">
        <f t="shared" ref="H99:H178" si="4">G99</f>
        <v>40</v>
      </c>
      <c r="I99" s="192"/>
    </row>
    <row r="100" spans="1:9" ht="47.25" hidden="1" x14ac:dyDescent="0.25">
      <c r="A100" s="31" t="s">
        <v>1095</v>
      </c>
      <c r="B100" s="390">
        <v>902</v>
      </c>
      <c r="C100" s="392" t="s">
        <v>118</v>
      </c>
      <c r="D100" s="392" t="s">
        <v>150</v>
      </c>
      <c r="E100" s="399" t="s">
        <v>992</v>
      </c>
      <c r="F100" s="392"/>
      <c r="G100" s="397">
        <f>G101</f>
        <v>0</v>
      </c>
      <c r="H100" s="397">
        <f>H101</f>
        <v>0</v>
      </c>
      <c r="I100" s="192"/>
    </row>
    <row r="101" spans="1:9" ht="31.5" hidden="1" x14ac:dyDescent="0.25">
      <c r="A101" s="396" t="s">
        <v>131</v>
      </c>
      <c r="B101" s="390">
        <v>902</v>
      </c>
      <c r="C101" s="392" t="s">
        <v>118</v>
      </c>
      <c r="D101" s="392" t="s">
        <v>150</v>
      </c>
      <c r="E101" s="399" t="s">
        <v>992</v>
      </c>
      <c r="F101" s="392" t="s">
        <v>132</v>
      </c>
      <c r="G101" s="397">
        <f>G102</f>
        <v>0</v>
      </c>
      <c r="H101" s="397">
        <f>H102</f>
        <v>0</v>
      </c>
      <c r="I101" s="192"/>
    </row>
    <row r="102" spans="1:9" ht="31.5" hidden="1" x14ac:dyDescent="0.25">
      <c r="A102" s="396" t="s">
        <v>133</v>
      </c>
      <c r="B102" s="390">
        <v>902</v>
      </c>
      <c r="C102" s="392" t="s">
        <v>118</v>
      </c>
      <c r="D102" s="392" t="s">
        <v>150</v>
      </c>
      <c r="E102" s="399" t="s">
        <v>696</v>
      </c>
      <c r="F102" s="392" t="s">
        <v>134</v>
      </c>
      <c r="G102" s="397">
        <v>0</v>
      </c>
      <c r="H102" s="397">
        <v>0</v>
      </c>
      <c r="I102" s="192"/>
    </row>
    <row r="103" spans="1:9" ht="47.25" hidden="1" x14ac:dyDescent="0.25">
      <c r="A103" s="31" t="s">
        <v>695</v>
      </c>
      <c r="B103" s="390">
        <v>902</v>
      </c>
      <c r="C103" s="392" t="s">
        <v>118</v>
      </c>
      <c r="D103" s="392" t="s">
        <v>150</v>
      </c>
      <c r="E103" s="392" t="s">
        <v>991</v>
      </c>
      <c r="F103" s="392"/>
      <c r="G103" s="397">
        <f>G104</f>
        <v>0</v>
      </c>
      <c r="H103" s="397">
        <f>H104</f>
        <v>0</v>
      </c>
      <c r="I103" s="192"/>
    </row>
    <row r="104" spans="1:9" ht="31.5" hidden="1" x14ac:dyDescent="0.25">
      <c r="A104" s="396" t="s">
        <v>131</v>
      </c>
      <c r="B104" s="390">
        <v>902</v>
      </c>
      <c r="C104" s="392" t="s">
        <v>118</v>
      </c>
      <c r="D104" s="392" t="s">
        <v>150</v>
      </c>
      <c r="E104" s="392" t="s">
        <v>991</v>
      </c>
      <c r="F104" s="392" t="s">
        <v>132</v>
      </c>
      <c r="G104" s="397">
        <f>G105</f>
        <v>0</v>
      </c>
      <c r="H104" s="397">
        <f>H105</f>
        <v>0</v>
      </c>
      <c r="I104" s="192"/>
    </row>
    <row r="105" spans="1:9" ht="31.5" hidden="1" x14ac:dyDescent="0.25">
      <c r="A105" s="396" t="s">
        <v>133</v>
      </c>
      <c r="B105" s="390">
        <v>902</v>
      </c>
      <c r="C105" s="392" t="s">
        <v>118</v>
      </c>
      <c r="D105" s="392" t="s">
        <v>150</v>
      </c>
      <c r="E105" s="392" t="s">
        <v>991</v>
      </c>
      <c r="F105" s="392" t="s">
        <v>134</v>
      </c>
      <c r="G105" s="397">
        <v>0</v>
      </c>
      <c r="H105" s="397">
        <v>0</v>
      </c>
      <c r="I105" s="192"/>
    </row>
    <row r="106" spans="1:9" ht="63" x14ac:dyDescent="0.25">
      <c r="A106" s="205" t="s">
        <v>1002</v>
      </c>
      <c r="B106" s="391">
        <v>902</v>
      </c>
      <c r="C106" s="395" t="s">
        <v>118</v>
      </c>
      <c r="D106" s="395" t="s">
        <v>150</v>
      </c>
      <c r="E106" s="7" t="s">
        <v>850</v>
      </c>
      <c r="F106" s="395"/>
      <c r="G106" s="393">
        <f>G107+G110</f>
        <v>0.5</v>
      </c>
      <c r="H106" s="393">
        <f>H107+H110</f>
        <v>0.5</v>
      </c>
      <c r="I106" s="192"/>
    </row>
    <row r="107" spans="1:9" ht="47.25" x14ac:dyDescent="0.25">
      <c r="A107" s="33" t="s">
        <v>191</v>
      </c>
      <c r="B107" s="390">
        <v>902</v>
      </c>
      <c r="C107" s="392" t="s">
        <v>118</v>
      </c>
      <c r="D107" s="392" t="s">
        <v>150</v>
      </c>
      <c r="E107" s="399" t="s">
        <v>843</v>
      </c>
      <c r="F107" s="392"/>
      <c r="G107" s="397">
        <f>G108</f>
        <v>0.5</v>
      </c>
      <c r="H107" s="397">
        <f>H108</f>
        <v>0.5</v>
      </c>
      <c r="I107" s="192"/>
    </row>
    <row r="108" spans="1:9" ht="31.5" x14ac:dyDescent="0.25">
      <c r="A108" s="396" t="s">
        <v>131</v>
      </c>
      <c r="B108" s="390">
        <v>902</v>
      </c>
      <c r="C108" s="392" t="s">
        <v>118</v>
      </c>
      <c r="D108" s="392" t="s">
        <v>150</v>
      </c>
      <c r="E108" s="399" t="s">
        <v>843</v>
      </c>
      <c r="F108" s="392" t="s">
        <v>132</v>
      </c>
      <c r="G108" s="397">
        <f>G109</f>
        <v>0.5</v>
      </c>
      <c r="H108" s="397">
        <f>H109</f>
        <v>0.5</v>
      </c>
      <c r="I108" s="192"/>
    </row>
    <row r="109" spans="1:9" ht="31.5" x14ac:dyDescent="0.25">
      <c r="A109" s="396" t="s">
        <v>133</v>
      </c>
      <c r="B109" s="390">
        <v>902</v>
      </c>
      <c r="C109" s="392" t="s">
        <v>118</v>
      </c>
      <c r="D109" s="392" t="s">
        <v>150</v>
      </c>
      <c r="E109" s="399" t="s">
        <v>843</v>
      </c>
      <c r="F109" s="392" t="s">
        <v>134</v>
      </c>
      <c r="G109" s="397">
        <f>0.5</f>
        <v>0.5</v>
      </c>
      <c r="H109" s="397">
        <f t="shared" si="4"/>
        <v>0.5</v>
      </c>
      <c r="I109" s="192"/>
    </row>
    <row r="110" spans="1:9" ht="47.25" hidden="1" x14ac:dyDescent="0.25">
      <c r="A110" s="33" t="s">
        <v>191</v>
      </c>
      <c r="B110" s="390">
        <v>902</v>
      </c>
      <c r="C110" s="392" t="s">
        <v>118</v>
      </c>
      <c r="D110" s="392" t="s">
        <v>150</v>
      </c>
      <c r="E110" s="392" t="s">
        <v>844</v>
      </c>
      <c r="F110" s="392"/>
      <c r="G110" s="397">
        <f>'[1]Пр.5 ведом.21'!G106</f>
        <v>0</v>
      </c>
      <c r="H110" s="397">
        <f t="shared" si="4"/>
        <v>0</v>
      </c>
      <c r="I110" s="192"/>
    </row>
    <row r="111" spans="1:9" ht="31.5" hidden="1" x14ac:dyDescent="0.25">
      <c r="A111" s="396" t="s">
        <v>131</v>
      </c>
      <c r="B111" s="390">
        <v>902</v>
      </c>
      <c r="C111" s="392" t="s">
        <v>118</v>
      </c>
      <c r="D111" s="392" t="s">
        <v>150</v>
      </c>
      <c r="E111" s="392" t="s">
        <v>844</v>
      </c>
      <c r="F111" s="392" t="s">
        <v>132</v>
      </c>
      <c r="G111" s="397">
        <f>'[1]Пр.5 ведом.21'!G107</f>
        <v>0</v>
      </c>
      <c r="H111" s="397">
        <f t="shared" si="4"/>
        <v>0</v>
      </c>
      <c r="I111" s="192"/>
    </row>
    <row r="112" spans="1:9" ht="31.5" hidden="1" x14ac:dyDescent="0.25">
      <c r="A112" s="396" t="s">
        <v>133</v>
      </c>
      <c r="B112" s="390">
        <v>902</v>
      </c>
      <c r="C112" s="392" t="s">
        <v>118</v>
      </c>
      <c r="D112" s="392" t="s">
        <v>150</v>
      </c>
      <c r="E112" s="392" t="s">
        <v>844</v>
      </c>
      <c r="F112" s="392" t="s">
        <v>134</v>
      </c>
      <c r="G112" s="397">
        <f>'[1]Пр.5 ведом.21'!G108</f>
        <v>0</v>
      </c>
      <c r="H112" s="397">
        <f t="shared" si="4"/>
        <v>0</v>
      </c>
      <c r="I112" s="192"/>
    </row>
    <row r="113" spans="1:9" ht="47.25" x14ac:dyDescent="0.25">
      <c r="A113" s="394" t="s">
        <v>119</v>
      </c>
      <c r="B113" s="391">
        <v>902</v>
      </c>
      <c r="C113" s="395" t="s">
        <v>118</v>
      </c>
      <c r="D113" s="395" t="s">
        <v>120</v>
      </c>
      <c r="E113" s="395"/>
      <c r="F113" s="392"/>
      <c r="G113" s="393">
        <f>G114</f>
        <v>1332.2</v>
      </c>
      <c r="H113" s="393">
        <f>H114</f>
        <v>1332.2</v>
      </c>
      <c r="I113" s="192"/>
    </row>
    <row r="114" spans="1:9" ht="31.5" x14ac:dyDescent="0.25">
      <c r="A114" s="394" t="s">
        <v>916</v>
      </c>
      <c r="B114" s="391">
        <v>902</v>
      </c>
      <c r="C114" s="395" t="s">
        <v>118</v>
      </c>
      <c r="D114" s="395" t="s">
        <v>120</v>
      </c>
      <c r="E114" s="395" t="s">
        <v>857</v>
      </c>
      <c r="F114" s="395"/>
      <c r="G114" s="393">
        <f>G115</f>
        <v>1332.2</v>
      </c>
      <c r="H114" s="393">
        <f>H115</f>
        <v>1332.2</v>
      </c>
      <c r="I114" s="192"/>
    </row>
    <row r="115" spans="1:9" ht="15.75" x14ac:dyDescent="0.25">
      <c r="A115" s="394" t="s">
        <v>917</v>
      </c>
      <c r="B115" s="391">
        <v>902</v>
      </c>
      <c r="C115" s="395" t="s">
        <v>118</v>
      </c>
      <c r="D115" s="395" t="s">
        <v>120</v>
      </c>
      <c r="E115" s="395" t="s">
        <v>858</v>
      </c>
      <c r="F115" s="395"/>
      <c r="G115" s="393">
        <f>G116+G119</f>
        <v>1332.2</v>
      </c>
      <c r="H115" s="393">
        <f>H116+H119</f>
        <v>1332.2</v>
      </c>
      <c r="I115" s="192"/>
    </row>
    <row r="116" spans="1:9" ht="31.5" x14ac:dyDescent="0.25">
      <c r="A116" s="396" t="s">
        <v>896</v>
      </c>
      <c r="B116" s="390">
        <v>902</v>
      </c>
      <c r="C116" s="392" t="s">
        <v>118</v>
      </c>
      <c r="D116" s="392" t="s">
        <v>120</v>
      </c>
      <c r="E116" s="392" t="s">
        <v>859</v>
      </c>
      <c r="F116" s="392"/>
      <c r="G116" s="397">
        <f>G117</f>
        <v>1286.2</v>
      </c>
      <c r="H116" s="397">
        <f>H117</f>
        <v>1286.2</v>
      </c>
      <c r="I116" s="192"/>
    </row>
    <row r="117" spans="1:9" ht="78.75" x14ac:dyDescent="0.25">
      <c r="A117" s="396" t="s">
        <v>127</v>
      </c>
      <c r="B117" s="390">
        <v>902</v>
      </c>
      <c r="C117" s="392" t="s">
        <v>118</v>
      </c>
      <c r="D117" s="392" t="s">
        <v>120</v>
      </c>
      <c r="E117" s="392" t="s">
        <v>859</v>
      </c>
      <c r="F117" s="392" t="s">
        <v>128</v>
      </c>
      <c r="G117" s="397">
        <f>G118</f>
        <v>1286.2</v>
      </c>
      <c r="H117" s="397">
        <f>H118</f>
        <v>1286.2</v>
      </c>
      <c r="I117" s="192"/>
    </row>
    <row r="118" spans="1:9" ht="31.5" x14ac:dyDescent="0.25">
      <c r="A118" s="396" t="s">
        <v>129</v>
      </c>
      <c r="B118" s="390">
        <v>902</v>
      </c>
      <c r="C118" s="392" t="s">
        <v>118</v>
      </c>
      <c r="D118" s="392" t="s">
        <v>120</v>
      </c>
      <c r="E118" s="392" t="s">
        <v>859</v>
      </c>
      <c r="F118" s="392" t="s">
        <v>130</v>
      </c>
      <c r="G118" s="397">
        <v>1286.2</v>
      </c>
      <c r="H118" s="397">
        <f t="shared" si="4"/>
        <v>1286.2</v>
      </c>
      <c r="I118" s="192"/>
    </row>
    <row r="119" spans="1:9" ht="47.25" x14ac:dyDescent="0.25">
      <c r="A119" s="396" t="s">
        <v>838</v>
      </c>
      <c r="B119" s="390">
        <v>902</v>
      </c>
      <c r="C119" s="392" t="s">
        <v>118</v>
      </c>
      <c r="D119" s="392" t="s">
        <v>120</v>
      </c>
      <c r="E119" s="392" t="s">
        <v>861</v>
      </c>
      <c r="F119" s="392"/>
      <c r="G119" s="397">
        <f>G120</f>
        <v>46</v>
      </c>
      <c r="H119" s="397">
        <f>H120</f>
        <v>46</v>
      </c>
      <c r="I119" s="192"/>
    </row>
    <row r="120" spans="1:9" ht="78.75" x14ac:dyDescent="0.25">
      <c r="A120" s="396" t="s">
        <v>127</v>
      </c>
      <c r="B120" s="390">
        <v>902</v>
      </c>
      <c r="C120" s="392" t="s">
        <v>118</v>
      </c>
      <c r="D120" s="392" t="s">
        <v>120</v>
      </c>
      <c r="E120" s="392" t="s">
        <v>861</v>
      </c>
      <c r="F120" s="392" t="s">
        <v>128</v>
      </c>
      <c r="G120" s="397">
        <f>G121</f>
        <v>46</v>
      </c>
      <c r="H120" s="397">
        <f>H121</f>
        <v>46</v>
      </c>
      <c r="I120" s="192"/>
    </row>
    <row r="121" spans="1:9" ht="31.5" x14ac:dyDescent="0.25">
      <c r="A121" s="396" t="s">
        <v>129</v>
      </c>
      <c r="B121" s="390">
        <v>902</v>
      </c>
      <c r="C121" s="392" t="s">
        <v>118</v>
      </c>
      <c r="D121" s="392" t="s">
        <v>120</v>
      </c>
      <c r="E121" s="392" t="s">
        <v>861</v>
      </c>
      <c r="F121" s="392" t="s">
        <v>130</v>
      </c>
      <c r="G121" s="397">
        <v>46</v>
      </c>
      <c r="H121" s="397">
        <f t="shared" si="4"/>
        <v>46</v>
      </c>
      <c r="I121" s="192"/>
    </row>
    <row r="122" spans="1:9" ht="15.75" hidden="1" x14ac:dyDescent="0.25">
      <c r="A122" s="394" t="s">
        <v>1145</v>
      </c>
      <c r="B122" s="391">
        <v>902</v>
      </c>
      <c r="C122" s="395" t="s">
        <v>118</v>
      </c>
      <c r="D122" s="395" t="s">
        <v>264</v>
      </c>
      <c r="E122" s="395"/>
      <c r="F122" s="392"/>
      <c r="G122" s="393">
        <f t="shared" ref="G122:H124" si="5">G123</f>
        <v>0</v>
      </c>
      <c r="H122" s="393">
        <f t="shared" si="5"/>
        <v>0</v>
      </c>
      <c r="I122" s="192"/>
    </row>
    <row r="123" spans="1:9" ht="15.75" hidden="1" x14ac:dyDescent="0.25">
      <c r="A123" s="394" t="s">
        <v>141</v>
      </c>
      <c r="B123" s="391">
        <v>902</v>
      </c>
      <c r="C123" s="395" t="s">
        <v>118</v>
      </c>
      <c r="D123" s="395" t="s">
        <v>264</v>
      </c>
      <c r="E123" s="395" t="s">
        <v>865</v>
      </c>
      <c r="F123" s="392"/>
      <c r="G123" s="393">
        <f t="shared" si="5"/>
        <v>0</v>
      </c>
      <c r="H123" s="393">
        <f t="shared" si="5"/>
        <v>0</v>
      </c>
      <c r="I123" s="192"/>
    </row>
    <row r="124" spans="1:9" ht="31.5" hidden="1" x14ac:dyDescent="0.25">
      <c r="A124" s="394" t="s">
        <v>869</v>
      </c>
      <c r="B124" s="391">
        <v>902</v>
      </c>
      <c r="C124" s="395" t="s">
        <v>118</v>
      </c>
      <c r="D124" s="395" t="s">
        <v>264</v>
      </c>
      <c r="E124" s="395" t="s">
        <v>864</v>
      </c>
      <c r="F124" s="392"/>
      <c r="G124" s="393">
        <f t="shared" si="5"/>
        <v>0</v>
      </c>
      <c r="H124" s="393">
        <f t="shared" si="5"/>
        <v>0</v>
      </c>
      <c r="I124" s="192"/>
    </row>
    <row r="125" spans="1:9" ht="15.75" hidden="1" x14ac:dyDescent="0.25">
      <c r="A125" s="45" t="s">
        <v>199</v>
      </c>
      <c r="B125" s="390">
        <v>902</v>
      </c>
      <c r="C125" s="392" t="s">
        <v>118</v>
      </c>
      <c r="D125" s="392" t="s">
        <v>264</v>
      </c>
      <c r="E125" s="392" t="s">
        <v>1144</v>
      </c>
      <c r="F125" s="392"/>
      <c r="G125" s="397">
        <f>G126+G128</f>
        <v>0</v>
      </c>
      <c r="H125" s="397">
        <f>H126+H128</f>
        <v>0</v>
      </c>
      <c r="I125" s="192"/>
    </row>
    <row r="126" spans="1:9" ht="78.75" hidden="1" x14ac:dyDescent="0.25">
      <c r="A126" s="396" t="s">
        <v>127</v>
      </c>
      <c r="B126" s="390">
        <v>902</v>
      </c>
      <c r="C126" s="392" t="s">
        <v>118</v>
      </c>
      <c r="D126" s="392" t="s">
        <v>264</v>
      </c>
      <c r="E126" s="392" t="s">
        <v>1144</v>
      </c>
      <c r="F126" s="392" t="s">
        <v>128</v>
      </c>
      <c r="G126" s="397">
        <f>G127</f>
        <v>0</v>
      </c>
      <c r="H126" s="397">
        <f>H127</f>
        <v>0</v>
      </c>
      <c r="I126" s="192"/>
    </row>
    <row r="127" spans="1:9" ht="31.5" hidden="1" x14ac:dyDescent="0.25">
      <c r="A127" s="396" t="s">
        <v>129</v>
      </c>
      <c r="B127" s="390">
        <v>902</v>
      </c>
      <c r="C127" s="392" t="s">
        <v>118</v>
      </c>
      <c r="D127" s="392" t="s">
        <v>264</v>
      </c>
      <c r="E127" s="392" t="s">
        <v>1144</v>
      </c>
      <c r="F127" s="392" t="s">
        <v>130</v>
      </c>
      <c r="G127" s="397">
        <v>0</v>
      </c>
      <c r="H127" s="397">
        <v>0</v>
      </c>
      <c r="I127" s="192"/>
    </row>
    <row r="128" spans="1:9" ht="31.5" hidden="1" x14ac:dyDescent="0.25">
      <c r="A128" s="396" t="s">
        <v>198</v>
      </c>
      <c r="B128" s="390">
        <v>902</v>
      </c>
      <c r="C128" s="392" t="s">
        <v>118</v>
      </c>
      <c r="D128" s="392" t="s">
        <v>264</v>
      </c>
      <c r="E128" s="392" t="s">
        <v>1144</v>
      </c>
      <c r="F128" s="392" t="s">
        <v>132</v>
      </c>
      <c r="G128" s="397">
        <f>G129</f>
        <v>0</v>
      </c>
      <c r="H128" s="397">
        <f>H129</f>
        <v>0</v>
      </c>
      <c r="I128" s="192"/>
    </row>
    <row r="129" spans="1:9" ht="31.5" hidden="1" x14ac:dyDescent="0.25">
      <c r="A129" s="396" t="s">
        <v>133</v>
      </c>
      <c r="B129" s="390">
        <v>902</v>
      </c>
      <c r="C129" s="392" t="s">
        <v>118</v>
      </c>
      <c r="D129" s="392" t="s">
        <v>264</v>
      </c>
      <c r="E129" s="392" t="s">
        <v>1144</v>
      </c>
      <c r="F129" s="392" t="s">
        <v>134</v>
      </c>
      <c r="G129" s="397">
        <v>0</v>
      </c>
      <c r="H129" s="397">
        <v>0</v>
      </c>
      <c r="I129" s="192"/>
    </row>
    <row r="130" spans="1:9" ht="15.75" x14ac:dyDescent="0.25">
      <c r="A130" s="394" t="s">
        <v>139</v>
      </c>
      <c r="B130" s="391">
        <v>902</v>
      </c>
      <c r="C130" s="395" t="s">
        <v>118</v>
      </c>
      <c r="D130" s="395" t="s">
        <v>140</v>
      </c>
      <c r="E130" s="395"/>
      <c r="F130" s="395"/>
      <c r="G130" s="393">
        <f>G146+G155+G131+G160+G141</f>
        <v>6009</v>
      </c>
      <c r="H130" s="393">
        <f>H146+H155+H131+H160+H141</f>
        <v>6052</v>
      </c>
      <c r="I130" s="192"/>
    </row>
    <row r="131" spans="1:9" ht="15.75" x14ac:dyDescent="0.25">
      <c r="A131" s="394" t="s">
        <v>141</v>
      </c>
      <c r="B131" s="391">
        <v>902</v>
      </c>
      <c r="C131" s="395" t="s">
        <v>118</v>
      </c>
      <c r="D131" s="395" t="s">
        <v>140</v>
      </c>
      <c r="E131" s="395" t="s">
        <v>865</v>
      </c>
      <c r="F131" s="395"/>
      <c r="G131" s="393">
        <f>G132</f>
        <v>5829</v>
      </c>
      <c r="H131" s="393">
        <f>H132</f>
        <v>5829</v>
      </c>
      <c r="I131" s="192"/>
    </row>
    <row r="132" spans="1:9" ht="31.5" x14ac:dyDescent="0.25">
      <c r="A132" s="394" t="s">
        <v>921</v>
      </c>
      <c r="B132" s="391">
        <v>902</v>
      </c>
      <c r="C132" s="395" t="s">
        <v>118</v>
      </c>
      <c r="D132" s="395" t="s">
        <v>140</v>
      </c>
      <c r="E132" s="395" t="s">
        <v>866</v>
      </c>
      <c r="F132" s="395"/>
      <c r="G132" s="393">
        <f>G133+G138</f>
        <v>5829</v>
      </c>
      <c r="H132" s="393">
        <f>H133+H138</f>
        <v>5829</v>
      </c>
      <c r="I132" s="192"/>
    </row>
    <row r="133" spans="1:9" ht="31.5" x14ac:dyDescent="0.25">
      <c r="A133" s="396" t="s">
        <v>927</v>
      </c>
      <c r="B133" s="390">
        <v>902</v>
      </c>
      <c r="C133" s="392" t="s">
        <v>118</v>
      </c>
      <c r="D133" s="392" t="s">
        <v>140</v>
      </c>
      <c r="E133" s="392" t="s">
        <v>867</v>
      </c>
      <c r="F133" s="392"/>
      <c r="G133" s="397">
        <f>G134+G136</f>
        <v>5701</v>
      </c>
      <c r="H133" s="397">
        <f>H134+H136</f>
        <v>5701</v>
      </c>
      <c r="I133" s="192"/>
    </row>
    <row r="134" spans="1:9" ht="78.75" x14ac:dyDescent="0.25">
      <c r="A134" s="396" t="s">
        <v>127</v>
      </c>
      <c r="B134" s="390">
        <v>902</v>
      </c>
      <c r="C134" s="392" t="s">
        <v>118</v>
      </c>
      <c r="D134" s="392" t="s">
        <v>140</v>
      </c>
      <c r="E134" s="392" t="s">
        <v>867</v>
      </c>
      <c r="F134" s="392" t="s">
        <v>128</v>
      </c>
      <c r="G134" s="397">
        <f>G135</f>
        <v>4501</v>
      </c>
      <c r="H134" s="397">
        <f>H135</f>
        <v>4501</v>
      </c>
      <c r="I134" s="192"/>
    </row>
    <row r="135" spans="1:9" ht="15.75" x14ac:dyDescent="0.25">
      <c r="A135" s="396" t="s">
        <v>208</v>
      </c>
      <c r="B135" s="390">
        <v>902</v>
      </c>
      <c r="C135" s="392" t="s">
        <v>118</v>
      </c>
      <c r="D135" s="392" t="s">
        <v>140</v>
      </c>
      <c r="E135" s="392" t="s">
        <v>867</v>
      </c>
      <c r="F135" s="392" t="s">
        <v>209</v>
      </c>
      <c r="G135" s="397">
        <v>4501</v>
      </c>
      <c r="H135" s="397">
        <f t="shared" si="4"/>
        <v>4501</v>
      </c>
      <c r="I135" s="192"/>
    </row>
    <row r="136" spans="1:9" ht="31.5" x14ac:dyDescent="0.25">
      <c r="A136" s="396" t="s">
        <v>198</v>
      </c>
      <c r="B136" s="390">
        <v>902</v>
      </c>
      <c r="C136" s="392" t="s">
        <v>118</v>
      </c>
      <c r="D136" s="392" t="s">
        <v>140</v>
      </c>
      <c r="E136" s="392" t="s">
        <v>867</v>
      </c>
      <c r="F136" s="392" t="s">
        <v>132</v>
      </c>
      <c r="G136" s="397">
        <f>G137</f>
        <v>1200</v>
      </c>
      <c r="H136" s="397">
        <f>H137</f>
        <v>1200</v>
      </c>
      <c r="I136" s="192"/>
    </row>
    <row r="137" spans="1:9" ht="31.5" x14ac:dyDescent="0.25">
      <c r="A137" s="396" t="s">
        <v>133</v>
      </c>
      <c r="B137" s="390">
        <v>902</v>
      </c>
      <c r="C137" s="392" t="s">
        <v>118</v>
      </c>
      <c r="D137" s="392" t="s">
        <v>140</v>
      </c>
      <c r="E137" s="392" t="s">
        <v>867</v>
      </c>
      <c r="F137" s="392" t="s">
        <v>134</v>
      </c>
      <c r="G137" s="397">
        <v>1200</v>
      </c>
      <c r="H137" s="397">
        <f t="shared" si="4"/>
        <v>1200</v>
      </c>
      <c r="I137" s="192"/>
    </row>
    <row r="138" spans="1:9" ht="47.25" x14ac:dyDescent="0.25">
      <c r="A138" s="396" t="s">
        <v>838</v>
      </c>
      <c r="B138" s="390">
        <v>902</v>
      </c>
      <c r="C138" s="392" t="s">
        <v>118</v>
      </c>
      <c r="D138" s="392" t="s">
        <v>140</v>
      </c>
      <c r="E138" s="392" t="s">
        <v>868</v>
      </c>
      <c r="F138" s="392"/>
      <c r="G138" s="397">
        <f>G139</f>
        <v>128</v>
      </c>
      <c r="H138" s="397">
        <f>H139</f>
        <v>128</v>
      </c>
      <c r="I138" s="192"/>
    </row>
    <row r="139" spans="1:9" ht="78.75" x14ac:dyDescent="0.25">
      <c r="A139" s="396" t="s">
        <v>127</v>
      </c>
      <c r="B139" s="390">
        <v>902</v>
      </c>
      <c r="C139" s="392" t="s">
        <v>118</v>
      </c>
      <c r="D139" s="392" t="s">
        <v>140</v>
      </c>
      <c r="E139" s="392" t="s">
        <v>868</v>
      </c>
      <c r="F139" s="392" t="s">
        <v>128</v>
      </c>
      <c r="G139" s="397">
        <f>G140</f>
        <v>128</v>
      </c>
      <c r="H139" s="397">
        <f>H140</f>
        <v>128</v>
      </c>
      <c r="I139" s="192"/>
    </row>
    <row r="140" spans="1:9" ht="15.75" x14ac:dyDescent="0.25">
      <c r="A140" s="396" t="s">
        <v>208</v>
      </c>
      <c r="B140" s="390">
        <v>902</v>
      </c>
      <c r="C140" s="392" t="s">
        <v>118</v>
      </c>
      <c r="D140" s="392" t="s">
        <v>140</v>
      </c>
      <c r="E140" s="392" t="s">
        <v>868</v>
      </c>
      <c r="F140" s="392" t="s">
        <v>209</v>
      </c>
      <c r="G140" s="397">
        <v>128</v>
      </c>
      <c r="H140" s="397">
        <f t="shared" si="4"/>
        <v>128</v>
      </c>
      <c r="I140" s="192"/>
    </row>
    <row r="141" spans="1:9" ht="47.25" x14ac:dyDescent="0.25">
      <c r="A141" s="34" t="s">
        <v>1218</v>
      </c>
      <c r="B141" s="391">
        <v>902</v>
      </c>
      <c r="C141" s="395" t="s">
        <v>118</v>
      </c>
      <c r="D141" s="395" t="s">
        <v>140</v>
      </c>
      <c r="E141" s="395" t="s">
        <v>324</v>
      </c>
      <c r="F141" s="395"/>
      <c r="G141" s="393">
        <f>G143</f>
        <v>12</v>
      </c>
      <c r="H141" s="393">
        <f>H143</f>
        <v>40</v>
      </c>
      <c r="I141" s="192"/>
    </row>
    <row r="142" spans="1:9" ht="63" x14ac:dyDescent="0.25">
      <c r="A142" s="34" t="s">
        <v>1024</v>
      </c>
      <c r="B142" s="391">
        <v>902</v>
      </c>
      <c r="C142" s="395" t="s">
        <v>118</v>
      </c>
      <c r="D142" s="395" t="s">
        <v>140</v>
      </c>
      <c r="E142" s="395" t="s">
        <v>933</v>
      </c>
      <c r="F142" s="395"/>
      <c r="G142" s="393">
        <f>G145</f>
        <v>12</v>
      </c>
      <c r="H142" s="393">
        <f>H145</f>
        <v>40</v>
      </c>
      <c r="I142" s="192"/>
    </row>
    <row r="143" spans="1:9" ht="47.25" x14ac:dyDescent="0.25">
      <c r="A143" s="31" t="s">
        <v>1081</v>
      </c>
      <c r="B143" s="390">
        <v>902</v>
      </c>
      <c r="C143" s="392" t="s">
        <v>118</v>
      </c>
      <c r="D143" s="392" t="s">
        <v>140</v>
      </c>
      <c r="E143" s="392" t="s">
        <v>1025</v>
      </c>
      <c r="F143" s="392"/>
      <c r="G143" s="397">
        <f>G144</f>
        <v>12</v>
      </c>
      <c r="H143" s="397">
        <f>H144</f>
        <v>40</v>
      </c>
      <c r="I143" s="192"/>
    </row>
    <row r="144" spans="1:9" ht="31.5" x14ac:dyDescent="0.25">
      <c r="A144" s="396" t="s">
        <v>131</v>
      </c>
      <c r="B144" s="390">
        <v>902</v>
      </c>
      <c r="C144" s="392" t="s">
        <v>118</v>
      </c>
      <c r="D144" s="392" t="s">
        <v>140</v>
      </c>
      <c r="E144" s="392" t="s">
        <v>1025</v>
      </c>
      <c r="F144" s="392" t="s">
        <v>132</v>
      </c>
      <c r="G144" s="397">
        <f>G145</f>
        <v>12</v>
      </c>
      <c r="H144" s="397">
        <f>H145</f>
        <v>40</v>
      </c>
      <c r="I144" s="192"/>
    </row>
    <row r="145" spans="1:9" ht="31.5" x14ac:dyDescent="0.25">
      <c r="A145" s="396" t="s">
        <v>133</v>
      </c>
      <c r="B145" s="390">
        <v>902</v>
      </c>
      <c r="C145" s="392" t="s">
        <v>118</v>
      </c>
      <c r="D145" s="392" t="s">
        <v>140</v>
      </c>
      <c r="E145" s="392" t="s">
        <v>1025</v>
      </c>
      <c r="F145" s="392" t="s">
        <v>134</v>
      </c>
      <c r="G145" s="397">
        <v>12</v>
      </c>
      <c r="H145" s="397">
        <v>40</v>
      </c>
      <c r="I145" s="192"/>
    </row>
    <row r="146" spans="1:9" ht="54.75" customHeight="1" x14ac:dyDescent="0.25">
      <c r="A146" s="400" t="s">
        <v>1340</v>
      </c>
      <c r="B146" s="391">
        <v>902</v>
      </c>
      <c r="C146" s="395" t="s">
        <v>118</v>
      </c>
      <c r="D146" s="395" t="s">
        <v>140</v>
      </c>
      <c r="E146" s="395" t="s">
        <v>705</v>
      </c>
      <c r="F146" s="403"/>
      <c r="G146" s="393">
        <f>G147+G151</f>
        <v>43</v>
      </c>
      <c r="H146" s="393">
        <f>H147+H151</f>
        <v>43</v>
      </c>
      <c r="I146" s="192"/>
    </row>
    <row r="147" spans="1:9" ht="47.25" x14ac:dyDescent="0.25">
      <c r="A147" s="195" t="s">
        <v>845</v>
      </c>
      <c r="B147" s="391">
        <v>902</v>
      </c>
      <c r="C147" s="395" t="s">
        <v>118</v>
      </c>
      <c r="D147" s="395" t="s">
        <v>140</v>
      </c>
      <c r="E147" s="395" t="s">
        <v>851</v>
      </c>
      <c r="F147" s="403"/>
      <c r="G147" s="393">
        <f t="shared" ref="G147:H149" si="6">G148</f>
        <v>28</v>
      </c>
      <c r="H147" s="393">
        <f t="shared" si="6"/>
        <v>28</v>
      </c>
      <c r="I147" s="192"/>
    </row>
    <row r="148" spans="1:9" ht="31.5" x14ac:dyDescent="0.25">
      <c r="A148" s="98" t="s">
        <v>776</v>
      </c>
      <c r="B148" s="390">
        <v>902</v>
      </c>
      <c r="C148" s="392" t="s">
        <v>118</v>
      </c>
      <c r="D148" s="392" t="s">
        <v>140</v>
      </c>
      <c r="E148" s="392" t="s">
        <v>846</v>
      </c>
      <c r="F148" s="398"/>
      <c r="G148" s="397">
        <f t="shared" si="6"/>
        <v>28</v>
      </c>
      <c r="H148" s="397">
        <f t="shared" si="6"/>
        <v>28</v>
      </c>
      <c r="I148" s="192"/>
    </row>
    <row r="149" spans="1:9" ht="31.5" x14ac:dyDescent="0.25">
      <c r="A149" s="396" t="s">
        <v>131</v>
      </c>
      <c r="B149" s="390">
        <v>902</v>
      </c>
      <c r="C149" s="392" t="s">
        <v>118</v>
      </c>
      <c r="D149" s="392" t="s">
        <v>140</v>
      </c>
      <c r="E149" s="392" t="s">
        <v>846</v>
      </c>
      <c r="F149" s="398" t="s">
        <v>132</v>
      </c>
      <c r="G149" s="397">
        <f t="shared" si="6"/>
        <v>28</v>
      </c>
      <c r="H149" s="397">
        <f t="shared" si="6"/>
        <v>28</v>
      </c>
      <c r="I149" s="192"/>
    </row>
    <row r="150" spans="1:9" ht="31.5" x14ac:dyDescent="0.25">
      <c r="A150" s="396" t="s">
        <v>133</v>
      </c>
      <c r="B150" s="390">
        <v>902</v>
      </c>
      <c r="C150" s="392" t="s">
        <v>118</v>
      </c>
      <c r="D150" s="392" t="s">
        <v>140</v>
      </c>
      <c r="E150" s="392" t="s">
        <v>846</v>
      </c>
      <c r="F150" s="398" t="s">
        <v>134</v>
      </c>
      <c r="G150" s="397">
        <v>28</v>
      </c>
      <c r="H150" s="397">
        <v>28</v>
      </c>
      <c r="I150" s="192"/>
    </row>
    <row r="151" spans="1:9" ht="31.5" x14ac:dyDescent="0.25">
      <c r="A151" s="402" t="s">
        <v>1022</v>
      </c>
      <c r="B151" s="391">
        <v>902</v>
      </c>
      <c r="C151" s="395" t="s">
        <v>118</v>
      </c>
      <c r="D151" s="395" t="s">
        <v>140</v>
      </c>
      <c r="E151" s="395" t="s">
        <v>852</v>
      </c>
      <c r="F151" s="403"/>
      <c r="G151" s="393">
        <f t="shared" ref="G151:H153" si="7">G152</f>
        <v>15</v>
      </c>
      <c r="H151" s="393">
        <f t="shared" si="7"/>
        <v>15</v>
      </c>
      <c r="I151" s="192"/>
    </row>
    <row r="152" spans="1:9" ht="31.5" x14ac:dyDescent="0.25">
      <c r="A152" s="98" t="s">
        <v>777</v>
      </c>
      <c r="B152" s="390">
        <v>902</v>
      </c>
      <c r="C152" s="392" t="s">
        <v>118</v>
      </c>
      <c r="D152" s="392" t="s">
        <v>140</v>
      </c>
      <c r="E152" s="392" t="s">
        <v>847</v>
      </c>
      <c r="F152" s="398"/>
      <c r="G152" s="397">
        <f t="shared" si="7"/>
        <v>15</v>
      </c>
      <c r="H152" s="397">
        <f t="shared" si="7"/>
        <v>15</v>
      </c>
      <c r="I152" s="192"/>
    </row>
    <row r="153" spans="1:9" ht="31.5" x14ac:dyDescent="0.25">
      <c r="A153" s="396" t="s">
        <v>131</v>
      </c>
      <c r="B153" s="390">
        <v>902</v>
      </c>
      <c r="C153" s="392" t="s">
        <v>118</v>
      </c>
      <c r="D153" s="392" t="s">
        <v>140</v>
      </c>
      <c r="E153" s="392" t="s">
        <v>847</v>
      </c>
      <c r="F153" s="398" t="s">
        <v>132</v>
      </c>
      <c r="G153" s="397">
        <f t="shared" si="7"/>
        <v>15</v>
      </c>
      <c r="H153" s="397">
        <f t="shared" si="7"/>
        <v>15</v>
      </c>
      <c r="I153" s="192"/>
    </row>
    <row r="154" spans="1:9" ht="31.5" x14ac:dyDescent="0.25">
      <c r="A154" s="396" t="s">
        <v>133</v>
      </c>
      <c r="B154" s="390">
        <v>902</v>
      </c>
      <c r="C154" s="392" t="s">
        <v>118</v>
      </c>
      <c r="D154" s="392" t="s">
        <v>140</v>
      </c>
      <c r="E154" s="392" t="s">
        <v>847</v>
      </c>
      <c r="F154" s="398" t="s">
        <v>134</v>
      </c>
      <c r="G154" s="397">
        <f>15</f>
        <v>15</v>
      </c>
      <c r="H154" s="397">
        <f t="shared" si="4"/>
        <v>15</v>
      </c>
      <c r="I154" s="192"/>
    </row>
    <row r="155" spans="1:9" ht="78.75" x14ac:dyDescent="0.25">
      <c r="A155" s="400" t="s">
        <v>1364</v>
      </c>
      <c r="B155" s="391">
        <v>902</v>
      </c>
      <c r="C155" s="8" t="s">
        <v>118</v>
      </c>
      <c r="D155" s="8" t="s">
        <v>140</v>
      </c>
      <c r="E155" s="435" t="s">
        <v>816</v>
      </c>
      <c r="F155" s="8"/>
      <c r="G155" s="393">
        <f t="shared" ref="G155:H158" si="8">G156</f>
        <v>45</v>
      </c>
      <c r="H155" s="393">
        <f t="shared" si="8"/>
        <v>50</v>
      </c>
      <c r="I155" s="192"/>
    </row>
    <row r="156" spans="1:9" ht="47.25" x14ac:dyDescent="0.25">
      <c r="A156" s="197" t="s">
        <v>853</v>
      </c>
      <c r="B156" s="391">
        <v>902</v>
      </c>
      <c r="C156" s="8" t="s">
        <v>118</v>
      </c>
      <c r="D156" s="8" t="s">
        <v>140</v>
      </c>
      <c r="E156" s="187" t="s">
        <v>1076</v>
      </c>
      <c r="F156" s="8"/>
      <c r="G156" s="393">
        <f t="shared" si="8"/>
        <v>45</v>
      </c>
      <c r="H156" s="393">
        <f t="shared" si="8"/>
        <v>50</v>
      </c>
      <c r="I156" s="192"/>
    </row>
    <row r="157" spans="1:9" ht="31.5" x14ac:dyDescent="0.25">
      <c r="A157" s="97" t="s">
        <v>171</v>
      </c>
      <c r="B157" s="390">
        <v>902</v>
      </c>
      <c r="C157" s="9" t="s">
        <v>118</v>
      </c>
      <c r="D157" s="9" t="s">
        <v>140</v>
      </c>
      <c r="E157" s="5" t="s">
        <v>854</v>
      </c>
      <c r="F157" s="9"/>
      <c r="G157" s="397">
        <f t="shared" si="8"/>
        <v>45</v>
      </c>
      <c r="H157" s="397">
        <f t="shared" si="8"/>
        <v>50</v>
      </c>
      <c r="I157" s="192"/>
    </row>
    <row r="158" spans="1:9" ht="31.5" x14ac:dyDescent="0.25">
      <c r="A158" s="396" t="s">
        <v>131</v>
      </c>
      <c r="B158" s="390">
        <v>902</v>
      </c>
      <c r="C158" s="9" t="s">
        <v>118</v>
      </c>
      <c r="D158" s="9" t="s">
        <v>140</v>
      </c>
      <c r="E158" s="5" t="s">
        <v>854</v>
      </c>
      <c r="F158" s="9" t="s">
        <v>132</v>
      </c>
      <c r="G158" s="397">
        <f t="shared" si="8"/>
        <v>45</v>
      </c>
      <c r="H158" s="397">
        <f t="shared" si="8"/>
        <v>50</v>
      </c>
      <c r="I158" s="192"/>
    </row>
    <row r="159" spans="1:9" ht="35.450000000000003" customHeight="1" x14ac:dyDescent="0.25">
      <c r="A159" s="396" t="s">
        <v>133</v>
      </c>
      <c r="B159" s="390">
        <v>902</v>
      </c>
      <c r="C159" s="9" t="s">
        <v>118</v>
      </c>
      <c r="D159" s="9" t="s">
        <v>140</v>
      </c>
      <c r="E159" s="5" t="s">
        <v>854</v>
      </c>
      <c r="F159" s="9" t="s">
        <v>134</v>
      </c>
      <c r="G159" s="397">
        <v>45</v>
      </c>
      <c r="H159" s="397">
        <v>50</v>
      </c>
      <c r="I159" s="192"/>
    </row>
    <row r="160" spans="1:9" ht="63" x14ac:dyDescent="0.25">
      <c r="A160" s="400" t="s">
        <v>1342</v>
      </c>
      <c r="B160" s="391">
        <v>902</v>
      </c>
      <c r="C160" s="8" t="s">
        <v>118</v>
      </c>
      <c r="D160" s="8" t="s">
        <v>140</v>
      </c>
      <c r="E160" s="187" t="s">
        <v>817</v>
      </c>
      <c r="F160" s="8"/>
      <c r="G160" s="393">
        <f>G162</f>
        <v>80</v>
      </c>
      <c r="H160" s="393">
        <f>H162</f>
        <v>90</v>
      </c>
      <c r="I160" s="192"/>
    </row>
    <row r="161" spans="1:9" ht="31.5" x14ac:dyDescent="0.25">
      <c r="A161" s="58" t="s">
        <v>855</v>
      </c>
      <c r="B161" s="391">
        <v>902</v>
      </c>
      <c r="C161" s="8" t="s">
        <v>118</v>
      </c>
      <c r="D161" s="8" t="s">
        <v>140</v>
      </c>
      <c r="E161" s="187" t="s">
        <v>863</v>
      </c>
      <c r="F161" s="8"/>
      <c r="G161" s="393">
        <f t="shared" ref="G161:H163" si="9">G162</f>
        <v>80</v>
      </c>
      <c r="H161" s="393">
        <f t="shared" si="9"/>
        <v>90</v>
      </c>
      <c r="I161" s="192"/>
    </row>
    <row r="162" spans="1:9" ht="15.75" x14ac:dyDescent="0.25">
      <c r="A162" s="45" t="s">
        <v>821</v>
      </c>
      <c r="B162" s="390">
        <v>902</v>
      </c>
      <c r="C162" s="9" t="s">
        <v>118</v>
      </c>
      <c r="D162" s="9" t="s">
        <v>140</v>
      </c>
      <c r="E162" s="5" t="s">
        <v>856</v>
      </c>
      <c r="F162" s="9"/>
      <c r="G162" s="397">
        <f t="shared" si="9"/>
        <v>80</v>
      </c>
      <c r="H162" s="397">
        <f t="shared" si="9"/>
        <v>90</v>
      </c>
      <c r="I162" s="192"/>
    </row>
    <row r="163" spans="1:9" ht="31.5" x14ac:dyDescent="0.25">
      <c r="A163" s="396" t="s">
        <v>131</v>
      </c>
      <c r="B163" s="390">
        <v>902</v>
      </c>
      <c r="C163" s="9" t="s">
        <v>118</v>
      </c>
      <c r="D163" s="9" t="s">
        <v>140</v>
      </c>
      <c r="E163" s="5" t="s">
        <v>856</v>
      </c>
      <c r="F163" s="9" t="s">
        <v>132</v>
      </c>
      <c r="G163" s="397">
        <f t="shared" si="9"/>
        <v>80</v>
      </c>
      <c r="H163" s="397">
        <f t="shared" si="9"/>
        <v>90</v>
      </c>
      <c r="I163" s="192"/>
    </row>
    <row r="164" spans="1:9" ht="31.5" x14ac:dyDescent="0.25">
      <c r="A164" s="396" t="s">
        <v>133</v>
      </c>
      <c r="B164" s="390">
        <v>902</v>
      </c>
      <c r="C164" s="9" t="s">
        <v>118</v>
      </c>
      <c r="D164" s="9" t="s">
        <v>140</v>
      </c>
      <c r="E164" s="5" t="s">
        <v>856</v>
      </c>
      <c r="F164" s="9" t="s">
        <v>134</v>
      </c>
      <c r="G164" s="397">
        <v>80</v>
      </c>
      <c r="H164" s="397">
        <v>90</v>
      </c>
      <c r="I164" s="192"/>
    </row>
    <row r="165" spans="1:9" ht="15.75" hidden="1" x14ac:dyDescent="0.25">
      <c r="A165" s="394" t="s">
        <v>212</v>
      </c>
      <c r="B165" s="391">
        <v>902</v>
      </c>
      <c r="C165" s="395" t="s">
        <v>213</v>
      </c>
      <c r="D165" s="395"/>
      <c r="E165" s="395"/>
      <c r="F165" s="395"/>
      <c r="G165" s="393">
        <f t="shared" ref="G165:H168" si="10">G166</f>
        <v>0</v>
      </c>
      <c r="H165" s="393">
        <f t="shared" si="10"/>
        <v>0</v>
      </c>
      <c r="I165" s="192"/>
    </row>
    <row r="166" spans="1:9" ht="17.100000000000001" hidden="1" customHeight="1" x14ac:dyDescent="0.25">
      <c r="A166" s="394" t="s">
        <v>218</v>
      </c>
      <c r="B166" s="391">
        <v>902</v>
      </c>
      <c r="C166" s="395" t="s">
        <v>213</v>
      </c>
      <c r="D166" s="395" t="s">
        <v>219</v>
      </c>
      <c r="E166" s="395"/>
      <c r="F166" s="395"/>
      <c r="G166" s="393">
        <f t="shared" si="10"/>
        <v>0</v>
      </c>
      <c r="H166" s="393">
        <f t="shared" si="10"/>
        <v>0</v>
      </c>
      <c r="I166" s="192"/>
    </row>
    <row r="167" spans="1:9" ht="15.75" hidden="1" x14ac:dyDescent="0.25">
      <c r="A167" s="394" t="s">
        <v>141</v>
      </c>
      <c r="B167" s="391">
        <v>902</v>
      </c>
      <c r="C167" s="395" t="s">
        <v>213</v>
      </c>
      <c r="D167" s="395" t="s">
        <v>219</v>
      </c>
      <c r="E167" s="395" t="s">
        <v>865</v>
      </c>
      <c r="F167" s="395"/>
      <c r="G167" s="393">
        <f t="shared" si="10"/>
        <v>0</v>
      </c>
      <c r="H167" s="393">
        <f t="shared" si="10"/>
        <v>0</v>
      </c>
      <c r="I167" s="192"/>
    </row>
    <row r="168" spans="1:9" ht="31.5" hidden="1" x14ac:dyDescent="0.25">
      <c r="A168" s="394" t="s">
        <v>869</v>
      </c>
      <c r="B168" s="391">
        <v>902</v>
      </c>
      <c r="C168" s="395" t="s">
        <v>213</v>
      </c>
      <c r="D168" s="395" t="s">
        <v>219</v>
      </c>
      <c r="E168" s="395" t="s">
        <v>864</v>
      </c>
      <c r="F168" s="395"/>
      <c r="G168" s="393">
        <f t="shared" si="10"/>
        <v>0</v>
      </c>
      <c r="H168" s="393">
        <f t="shared" si="10"/>
        <v>0</v>
      </c>
      <c r="I168" s="192"/>
    </row>
    <row r="169" spans="1:9" ht="15.75" hidden="1" x14ac:dyDescent="0.25">
      <c r="A169" s="396" t="s">
        <v>220</v>
      </c>
      <c r="B169" s="390">
        <v>902</v>
      </c>
      <c r="C169" s="392" t="s">
        <v>213</v>
      </c>
      <c r="D169" s="392" t="s">
        <v>219</v>
      </c>
      <c r="E169" s="392" t="s">
        <v>870</v>
      </c>
      <c r="F169" s="392"/>
      <c r="G169" s="397">
        <f>'[1]Пр.5 ведом.21'!G160</f>
        <v>0</v>
      </c>
      <c r="H169" s="397">
        <f t="shared" si="4"/>
        <v>0</v>
      </c>
      <c r="I169" s="192"/>
    </row>
    <row r="170" spans="1:9" ht="31.5" hidden="1" x14ac:dyDescent="0.25">
      <c r="A170" s="396" t="s">
        <v>198</v>
      </c>
      <c r="B170" s="390">
        <v>902</v>
      </c>
      <c r="C170" s="392" t="s">
        <v>213</v>
      </c>
      <c r="D170" s="392" t="s">
        <v>219</v>
      </c>
      <c r="E170" s="392" t="s">
        <v>870</v>
      </c>
      <c r="F170" s="392" t="s">
        <v>132</v>
      </c>
      <c r="G170" s="397">
        <f>'[1]Пр.5 ведом.21'!G161</f>
        <v>0</v>
      </c>
      <c r="H170" s="397">
        <f t="shared" si="4"/>
        <v>0</v>
      </c>
      <c r="I170" s="192"/>
    </row>
    <row r="171" spans="1:9" ht="31.5" hidden="1" x14ac:dyDescent="0.25">
      <c r="A171" s="396" t="s">
        <v>133</v>
      </c>
      <c r="B171" s="390">
        <v>902</v>
      </c>
      <c r="C171" s="392" t="s">
        <v>213</v>
      </c>
      <c r="D171" s="392" t="s">
        <v>219</v>
      </c>
      <c r="E171" s="392" t="s">
        <v>870</v>
      </c>
      <c r="F171" s="392" t="s">
        <v>134</v>
      </c>
      <c r="G171" s="397">
        <f>'[1]Пр.5 ведом.21'!G162</f>
        <v>0</v>
      </c>
      <c r="H171" s="397">
        <f t="shared" si="4"/>
        <v>0</v>
      </c>
      <c r="I171" s="192"/>
    </row>
    <row r="172" spans="1:9" ht="31.5" x14ac:dyDescent="0.25">
      <c r="A172" s="394" t="s">
        <v>222</v>
      </c>
      <c r="B172" s="391">
        <v>902</v>
      </c>
      <c r="C172" s="395" t="s">
        <v>215</v>
      </c>
      <c r="D172" s="395"/>
      <c r="E172" s="395"/>
      <c r="F172" s="395"/>
      <c r="G172" s="393">
        <f>G173</f>
        <v>8090.1</v>
      </c>
      <c r="H172" s="393">
        <f>H173</f>
        <v>8090.1</v>
      </c>
      <c r="I172" s="192"/>
    </row>
    <row r="173" spans="1:9" ht="47.25" x14ac:dyDescent="0.25">
      <c r="A173" s="394" t="s">
        <v>1344</v>
      </c>
      <c r="B173" s="391">
        <v>902</v>
      </c>
      <c r="C173" s="395" t="s">
        <v>215</v>
      </c>
      <c r="D173" s="395" t="s">
        <v>244</v>
      </c>
      <c r="E173" s="392"/>
      <c r="F173" s="392"/>
      <c r="G173" s="393">
        <f>G174</f>
        <v>8090.1</v>
      </c>
      <c r="H173" s="393">
        <f>H174</f>
        <v>8090.1</v>
      </c>
      <c r="I173" s="192"/>
    </row>
    <row r="174" spans="1:9" ht="15.75" x14ac:dyDescent="0.25">
      <c r="A174" s="394" t="s">
        <v>141</v>
      </c>
      <c r="B174" s="391">
        <v>902</v>
      </c>
      <c r="C174" s="395" t="s">
        <v>215</v>
      </c>
      <c r="D174" s="395" t="s">
        <v>244</v>
      </c>
      <c r="E174" s="395" t="s">
        <v>865</v>
      </c>
      <c r="F174" s="395"/>
      <c r="G174" s="393">
        <f>G175+G182</f>
        <v>8090.1</v>
      </c>
      <c r="H174" s="393">
        <f>H175+H182</f>
        <v>8090.1</v>
      </c>
      <c r="I174" s="192"/>
    </row>
    <row r="175" spans="1:9" ht="31.5" x14ac:dyDescent="0.25">
      <c r="A175" s="394" t="s">
        <v>869</v>
      </c>
      <c r="B175" s="391">
        <v>902</v>
      </c>
      <c r="C175" s="395" t="s">
        <v>215</v>
      </c>
      <c r="D175" s="395" t="s">
        <v>244</v>
      </c>
      <c r="E175" s="395" t="s">
        <v>864</v>
      </c>
      <c r="F175" s="395"/>
      <c r="G175" s="393">
        <f>G176+G179</f>
        <v>1982</v>
      </c>
      <c r="H175" s="393">
        <f>H176+H179</f>
        <v>1982</v>
      </c>
      <c r="I175" s="192"/>
    </row>
    <row r="176" spans="1:9" ht="47.25" x14ac:dyDescent="0.25">
      <c r="A176" s="396" t="s">
        <v>224</v>
      </c>
      <c r="B176" s="390">
        <v>902</v>
      </c>
      <c r="C176" s="392" t="s">
        <v>215</v>
      </c>
      <c r="D176" s="392" t="s">
        <v>244</v>
      </c>
      <c r="E176" s="392" t="s">
        <v>874</v>
      </c>
      <c r="F176" s="392"/>
      <c r="G176" s="397">
        <f>G177</f>
        <v>1785</v>
      </c>
      <c r="H176" s="397">
        <f>H177</f>
        <v>1785</v>
      </c>
      <c r="I176" s="192"/>
    </row>
    <row r="177" spans="1:9" ht="31.5" x14ac:dyDescent="0.25">
      <c r="A177" s="396" t="s">
        <v>198</v>
      </c>
      <c r="B177" s="390">
        <v>902</v>
      </c>
      <c r="C177" s="392" t="s">
        <v>215</v>
      </c>
      <c r="D177" s="392" t="s">
        <v>244</v>
      </c>
      <c r="E177" s="392" t="s">
        <v>874</v>
      </c>
      <c r="F177" s="392" t="s">
        <v>132</v>
      </c>
      <c r="G177" s="397">
        <f>G178</f>
        <v>1785</v>
      </c>
      <c r="H177" s="397">
        <f>H178</f>
        <v>1785</v>
      </c>
      <c r="I177" s="192"/>
    </row>
    <row r="178" spans="1:9" ht="31.5" x14ac:dyDescent="0.25">
      <c r="A178" s="396" t="s">
        <v>133</v>
      </c>
      <c r="B178" s="390">
        <v>902</v>
      </c>
      <c r="C178" s="392" t="s">
        <v>215</v>
      </c>
      <c r="D178" s="392" t="s">
        <v>244</v>
      </c>
      <c r="E178" s="392" t="s">
        <v>874</v>
      </c>
      <c r="F178" s="392" t="s">
        <v>134</v>
      </c>
      <c r="G178" s="397">
        <f>1785</f>
        <v>1785</v>
      </c>
      <c r="H178" s="397">
        <f t="shared" si="4"/>
        <v>1785</v>
      </c>
      <c r="I178" s="192"/>
    </row>
    <row r="179" spans="1:9" ht="15.75" x14ac:dyDescent="0.25">
      <c r="A179" s="396" t="s">
        <v>230</v>
      </c>
      <c r="B179" s="390">
        <v>902</v>
      </c>
      <c r="C179" s="392" t="s">
        <v>215</v>
      </c>
      <c r="D179" s="392" t="s">
        <v>244</v>
      </c>
      <c r="E179" s="392" t="s">
        <v>875</v>
      </c>
      <c r="F179" s="392"/>
      <c r="G179" s="397">
        <f>G180</f>
        <v>197</v>
      </c>
      <c r="H179" s="397">
        <f>H180</f>
        <v>197</v>
      </c>
      <c r="I179" s="192"/>
    </row>
    <row r="180" spans="1:9" ht="31.5" x14ac:dyDescent="0.25">
      <c r="A180" s="396" t="s">
        <v>198</v>
      </c>
      <c r="B180" s="390">
        <v>902</v>
      </c>
      <c r="C180" s="392" t="s">
        <v>215</v>
      </c>
      <c r="D180" s="392" t="s">
        <v>244</v>
      </c>
      <c r="E180" s="392" t="s">
        <v>875</v>
      </c>
      <c r="F180" s="392" t="s">
        <v>132</v>
      </c>
      <c r="G180" s="397">
        <f>G181</f>
        <v>197</v>
      </c>
      <c r="H180" s="397">
        <f>H181</f>
        <v>197</v>
      </c>
      <c r="I180" s="192"/>
    </row>
    <row r="181" spans="1:9" ht="31.5" x14ac:dyDescent="0.25">
      <c r="A181" s="396" t="s">
        <v>133</v>
      </c>
      <c r="B181" s="390">
        <v>902</v>
      </c>
      <c r="C181" s="392" t="s">
        <v>215</v>
      </c>
      <c r="D181" s="392" t="s">
        <v>244</v>
      </c>
      <c r="E181" s="392" t="s">
        <v>875</v>
      </c>
      <c r="F181" s="392" t="s">
        <v>134</v>
      </c>
      <c r="G181" s="397">
        <f>197</f>
        <v>197</v>
      </c>
      <c r="H181" s="397">
        <f t="shared" ref="H181:H241" si="11">G181</f>
        <v>197</v>
      </c>
      <c r="I181" s="192"/>
    </row>
    <row r="182" spans="1:9" ht="31.5" x14ac:dyDescent="0.25">
      <c r="A182" s="394" t="s">
        <v>922</v>
      </c>
      <c r="B182" s="391">
        <v>902</v>
      </c>
      <c r="C182" s="395" t="s">
        <v>215</v>
      </c>
      <c r="D182" s="395" t="s">
        <v>244</v>
      </c>
      <c r="E182" s="395" t="s">
        <v>871</v>
      </c>
      <c r="F182" s="395"/>
      <c r="G182" s="393">
        <f>G183+G188</f>
        <v>6108.1</v>
      </c>
      <c r="H182" s="393">
        <f>H183+H188</f>
        <v>6108.1</v>
      </c>
      <c r="I182" s="192"/>
    </row>
    <row r="183" spans="1:9" ht="31.5" x14ac:dyDescent="0.25">
      <c r="A183" s="396" t="s">
        <v>926</v>
      </c>
      <c r="B183" s="390">
        <v>902</v>
      </c>
      <c r="C183" s="392" t="s">
        <v>215</v>
      </c>
      <c r="D183" s="392" t="s">
        <v>244</v>
      </c>
      <c r="E183" s="392" t="s">
        <v>872</v>
      </c>
      <c r="F183" s="392"/>
      <c r="G183" s="397">
        <f>G184+G186</f>
        <v>5856.1</v>
      </c>
      <c r="H183" s="397">
        <f>H184+H186</f>
        <v>5856.1</v>
      </c>
      <c r="I183" s="192"/>
    </row>
    <row r="184" spans="1:9" ht="78.75" x14ac:dyDescent="0.25">
      <c r="A184" s="396" t="s">
        <v>127</v>
      </c>
      <c r="B184" s="390">
        <v>902</v>
      </c>
      <c r="C184" s="392" t="s">
        <v>215</v>
      </c>
      <c r="D184" s="392" t="s">
        <v>244</v>
      </c>
      <c r="E184" s="392" t="s">
        <v>872</v>
      </c>
      <c r="F184" s="392" t="s">
        <v>128</v>
      </c>
      <c r="G184" s="397">
        <f>G185</f>
        <v>5693.1</v>
      </c>
      <c r="H184" s="397">
        <f t="shared" si="11"/>
        <v>5693.1</v>
      </c>
      <c r="I184" s="192"/>
    </row>
    <row r="185" spans="1:9" ht="15.75" x14ac:dyDescent="0.25">
      <c r="A185" s="396" t="s">
        <v>208</v>
      </c>
      <c r="B185" s="390">
        <v>902</v>
      </c>
      <c r="C185" s="392" t="s">
        <v>215</v>
      </c>
      <c r="D185" s="392" t="s">
        <v>244</v>
      </c>
      <c r="E185" s="392" t="s">
        <v>872</v>
      </c>
      <c r="F185" s="392" t="s">
        <v>209</v>
      </c>
      <c r="G185" s="397">
        <v>5693.1</v>
      </c>
      <c r="H185" s="397">
        <f t="shared" si="11"/>
        <v>5693.1</v>
      </c>
      <c r="I185" s="192"/>
    </row>
    <row r="186" spans="1:9" ht="31.5" x14ac:dyDescent="0.25">
      <c r="A186" s="396" t="s">
        <v>198</v>
      </c>
      <c r="B186" s="390">
        <v>902</v>
      </c>
      <c r="C186" s="392" t="s">
        <v>215</v>
      </c>
      <c r="D186" s="392" t="s">
        <v>244</v>
      </c>
      <c r="E186" s="392" t="s">
        <v>872</v>
      </c>
      <c r="F186" s="392" t="s">
        <v>132</v>
      </c>
      <c r="G186" s="397">
        <f>G187</f>
        <v>163</v>
      </c>
      <c r="H186" s="397">
        <f>H187</f>
        <v>163</v>
      </c>
      <c r="I186" s="192"/>
    </row>
    <row r="187" spans="1:9" ht="31.5" x14ac:dyDescent="0.25">
      <c r="A187" s="396" t="s">
        <v>133</v>
      </c>
      <c r="B187" s="390">
        <v>902</v>
      </c>
      <c r="C187" s="392" t="s">
        <v>215</v>
      </c>
      <c r="D187" s="392" t="s">
        <v>244</v>
      </c>
      <c r="E187" s="392" t="s">
        <v>872</v>
      </c>
      <c r="F187" s="392" t="s">
        <v>134</v>
      </c>
      <c r="G187" s="397">
        <f>163</f>
        <v>163</v>
      </c>
      <c r="H187" s="397">
        <f t="shared" si="11"/>
        <v>163</v>
      </c>
      <c r="I187" s="192"/>
    </row>
    <row r="188" spans="1:9" ht="47.25" x14ac:dyDescent="0.25">
      <c r="A188" s="396" t="s">
        <v>838</v>
      </c>
      <c r="B188" s="390">
        <v>902</v>
      </c>
      <c r="C188" s="392" t="s">
        <v>215</v>
      </c>
      <c r="D188" s="392" t="s">
        <v>244</v>
      </c>
      <c r="E188" s="392" t="s">
        <v>873</v>
      </c>
      <c r="F188" s="392"/>
      <c r="G188" s="397">
        <f>G189</f>
        <v>252</v>
      </c>
      <c r="H188" s="397">
        <f>H189</f>
        <v>252</v>
      </c>
      <c r="I188" s="192"/>
    </row>
    <row r="189" spans="1:9" ht="78.75" x14ac:dyDescent="0.25">
      <c r="A189" s="396" t="s">
        <v>127</v>
      </c>
      <c r="B189" s="390">
        <v>902</v>
      </c>
      <c r="C189" s="392" t="s">
        <v>215</v>
      </c>
      <c r="D189" s="392" t="s">
        <v>244</v>
      </c>
      <c r="E189" s="392" t="s">
        <v>873</v>
      </c>
      <c r="F189" s="392" t="s">
        <v>128</v>
      </c>
      <c r="G189" s="397">
        <f>G190</f>
        <v>252</v>
      </c>
      <c r="H189" s="397">
        <f>H190</f>
        <v>252</v>
      </c>
      <c r="I189" s="192"/>
    </row>
    <row r="190" spans="1:9" ht="19.5" customHeight="1" x14ac:dyDescent="0.25">
      <c r="A190" s="396" t="s">
        <v>208</v>
      </c>
      <c r="B190" s="390">
        <v>902</v>
      </c>
      <c r="C190" s="392" t="s">
        <v>215</v>
      </c>
      <c r="D190" s="392" t="s">
        <v>244</v>
      </c>
      <c r="E190" s="392" t="s">
        <v>873</v>
      </c>
      <c r="F190" s="392" t="s">
        <v>209</v>
      </c>
      <c r="G190" s="397">
        <f>252</f>
        <v>252</v>
      </c>
      <c r="H190" s="397">
        <f t="shared" si="11"/>
        <v>252</v>
      </c>
      <c r="I190" s="192"/>
    </row>
    <row r="191" spans="1:9" ht="15.75" x14ac:dyDescent="0.25">
      <c r="A191" s="394" t="s">
        <v>232</v>
      </c>
      <c r="B191" s="391">
        <v>902</v>
      </c>
      <c r="C191" s="395" t="s">
        <v>150</v>
      </c>
      <c r="D191" s="395"/>
      <c r="E191" s="395"/>
      <c r="F191" s="392"/>
      <c r="G191" s="393">
        <f>G205+G192</f>
        <v>688.2</v>
      </c>
      <c r="H191" s="393">
        <f>H205+H192</f>
        <v>698.8</v>
      </c>
      <c r="I191" s="192"/>
    </row>
    <row r="192" spans="1:9" ht="15.75" x14ac:dyDescent="0.25">
      <c r="A192" s="394" t="s">
        <v>233</v>
      </c>
      <c r="B192" s="391">
        <v>902</v>
      </c>
      <c r="C192" s="395" t="s">
        <v>150</v>
      </c>
      <c r="D192" s="395" t="s">
        <v>234</v>
      </c>
      <c r="E192" s="395"/>
      <c r="F192" s="392"/>
      <c r="G192" s="393">
        <f>G193</f>
        <v>274</v>
      </c>
      <c r="H192" s="393">
        <f>H193</f>
        <v>274</v>
      </c>
      <c r="I192" s="192"/>
    </row>
    <row r="193" spans="1:9" ht="31.5" x14ac:dyDescent="0.25">
      <c r="A193" s="34" t="s">
        <v>1343</v>
      </c>
      <c r="B193" s="391">
        <v>902</v>
      </c>
      <c r="C193" s="395" t="s">
        <v>150</v>
      </c>
      <c r="D193" s="395" t="s">
        <v>234</v>
      </c>
      <c r="E193" s="187" t="s">
        <v>182</v>
      </c>
      <c r="F193" s="403"/>
      <c r="G193" s="393">
        <f>G194+G201</f>
        <v>274</v>
      </c>
      <c r="H193" s="393">
        <f>H194+H201</f>
        <v>274</v>
      </c>
      <c r="I193" s="192"/>
    </row>
    <row r="194" spans="1:9" ht="31.5" x14ac:dyDescent="0.25">
      <c r="A194" s="34" t="s">
        <v>1005</v>
      </c>
      <c r="B194" s="391">
        <v>902</v>
      </c>
      <c r="C194" s="395" t="s">
        <v>150</v>
      </c>
      <c r="D194" s="395" t="s">
        <v>234</v>
      </c>
      <c r="E194" s="233" t="s">
        <v>876</v>
      </c>
      <c r="F194" s="403"/>
      <c r="G194" s="393">
        <f>G195+G198</f>
        <v>274</v>
      </c>
      <c r="H194" s="393">
        <f>H195+H198</f>
        <v>274</v>
      </c>
      <c r="I194" s="192"/>
    </row>
    <row r="195" spans="1:9" ht="31.5" x14ac:dyDescent="0.25">
      <c r="A195" s="396" t="s">
        <v>235</v>
      </c>
      <c r="B195" s="390">
        <v>902</v>
      </c>
      <c r="C195" s="392" t="s">
        <v>150</v>
      </c>
      <c r="D195" s="392" t="s">
        <v>234</v>
      </c>
      <c r="E195" s="392" t="s">
        <v>897</v>
      </c>
      <c r="F195" s="398"/>
      <c r="G195" s="397">
        <f>G196</f>
        <v>274</v>
      </c>
      <c r="H195" s="397">
        <f>H196</f>
        <v>274</v>
      </c>
      <c r="I195" s="192"/>
    </row>
    <row r="196" spans="1:9" ht="15.75" x14ac:dyDescent="0.25">
      <c r="A196" s="29" t="s">
        <v>135</v>
      </c>
      <c r="B196" s="390">
        <v>902</v>
      </c>
      <c r="C196" s="392" t="s">
        <v>150</v>
      </c>
      <c r="D196" s="392" t="s">
        <v>234</v>
      </c>
      <c r="E196" s="392" t="s">
        <v>897</v>
      </c>
      <c r="F196" s="398" t="s">
        <v>145</v>
      </c>
      <c r="G196" s="397">
        <f>G197</f>
        <v>274</v>
      </c>
      <c r="H196" s="397">
        <f>H197</f>
        <v>274</v>
      </c>
      <c r="I196" s="192"/>
    </row>
    <row r="197" spans="1:9" ht="47.25" x14ac:dyDescent="0.25">
      <c r="A197" s="29" t="s">
        <v>184</v>
      </c>
      <c r="B197" s="390">
        <v>902</v>
      </c>
      <c r="C197" s="392" t="s">
        <v>150</v>
      </c>
      <c r="D197" s="392" t="s">
        <v>234</v>
      </c>
      <c r="E197" s="392" t="s">
        <v>897</v>
      </c>
      <c r="F197" s="398" t="s">
        <v>160</v>
      </c>
      <c r="G197" s="397">
        <f>19+255</f>
        <v>274</v>
      </c>
      <c r="H197" s="397">
        <f>19+255</f>
        <v>274</v>
      </c>
      <c r="I197" s="192"/>
    </row>
    <row r="198" spans="1:9" ht="31.5" hidden="1" x14ac:dyDescent="0.25">
      <c r="A198" s="396" t="s">
        <v>235</v>
      </c>
      <c r="B198" s="390">
        <v>902</v>
      </c>
      <c r="C198" s="392" t="s">
        <v>150</v>
      </c>
      <c r="D198" s="392" t="s">
        <v>234</v>
      </c>
      <c r="E198" s="392" t="s">
        <v>879</v>
      </c>
      <c r="F198" s="392"/>
      <c r="G198" s="397">
        <f>G199</f>
        <v>0</v>
      </c>
      <c r="H198" s="397">
        <f>H199</f>
        <v>0</v>
      </c>
      <c r="I198" s="192"/>
    </row>
    <row r="199" spans="1:9" ht="15.75" hidden="1" x14ac:dyDescent="0.25">
      <c r="A199" s="396" t="s">
        <v>135</v>
      </c>
      <c r="B199" s="390">
        <v>902</v>
      </c>
      <c r="C199" s="392" t="s">
        <v>150</v>
      </c>
      <c r="D199" s="392" t="s">
        <v>234</v>
      </c>
      <c r="E199" s="392" t="s">
        <v>879</v>
      </c>
      <c r="F199" s="392" t="s">
        <v>145</v>
      </c>
      <c r="G199" s="397">
        <f>G200</f>
        <v>0</v>
      </c>
      <c r="H199" s="397">
        <f>H200</f>
        <v>0</v>
      </c>
      <c r="I199" s="192"/>
    </row>
    <row r="200" spans="1:9" ht="47.25" hidden="1" x14ac:dyDescent="0.25">
      <c r="A200" s="396" t="s">
        <v>184</v>
      </c>
      <c r="B200" s="390">
        <v>902</v>
      </c>
      <c r="C200" s="392" t="s">
        <v>150</v>
      </c>
      <c r="D200" s="392" t="s">
        <v>234</v>
      </c>
      <c r="E200" s="392" t="s">
        <v>879</v>
      </c>
      <c r="F200" s="392" t="s">
        <v>160</v>
      </c>
      <c r="G200" s="397"/>
      <c r="H200" s="397"/>
      <c r="I200" s="192"/>
    </row>
    <row r="201" spans="1:9" ht="47.25" hidden="1" x14ac:dyDescent="0.25">
      <c r="A201" s="198" t="s">
        <v>1006</v>
      </c>
      <c r="B201" s="391">
        <v>902</v>
      </c>
      <c r="C201" s="395" t="s">
        <v>150</v>
      </c>
      <c r="D201" s="395" t="s">
        <v>234</v>
      </c>
      <c r="E201" s="187" t="s">
        <v>878</v>
      </c>
      <c r="F201" s="403"/>
      <c r="G201" s="393">
        <f t="shared" ref="G201:H203" si="12">G202</f>
        <v>0</v>
      </c>
      <c r="H201" s="393">
        <f t="shared" si="12"/>
        <v>0</v>
      </c>
      <c r="I201" s="192"/>
    </row>
    <row r="202" spans="1:9" ht="15.75" hidden="1" x14ac:dyDescent="0.25">
      <c r="A202" s="396" t="s">
        <v>877</v>
      </c>
      <c r="B202" s="390">
        <v>902</v>
      </c>
      <c r="C202" s="392" t="s">
        <v>150</v>
      </c>
      <c r="D202" s="392" t="s">
        <v>234</v>
      </c>
      <c r="E202" s="5" t="s">
        <v>898</v>
      </c>
      <c r="F202" s="398"/>
      <c r="G202" s="397">
        <f t="shared" si="12"/>
        <v>0</v>
      </c>
      <c r="H202" s="397">
        <f t="shared" si="12"/>
        <v>0</v>
      </c>
      <c r="I202" s="192"/>
    </row>
    <row r="203" spans="1:9" ht="15.75" hidden="1" x14ac:dyDescent="0.25">
      <c r="A203" s="29" t="s">
        <v>135</v>
      </c>
      <c r="B203" s="390">
        <v>902</v>
      </c>
      <c r="C203" s="392" t="s">
        <v>150</v>
      </c>
      <c r="D203" s="392" t="s">
        <v>234</v>
      </c>
      <c r="E203" s="5" t="s">
        <v>898</v>
      </c>
      <c r="F203" s="398" t="s">
        <v>145</v>
      </c>
      <c r="G203" s="397">
        <f t="shared" si="12"/>
        <v>0</v>
      </c>
      <c r="H203" s="397">
        <f t="shared" si="12"/>
        <v>0</v>
      </c>
      <c r="I203" s="192"/>
    </row>
    <row r="204" spans="1:9" ht="47.25" hidden="1" x14ac:dyDescent="0.25">
      <c r="A204" s="29" t="s">
        <v>184</v>
      </c>
      <c r="B204" s="390">
        <v>902</v>
      </c>
      <c r="C204" s="392" t="s">
        <v>150</v>
      </c>
      <c r="D204" s="392" t="s">
        <v>234</v>
      </c>
      <c r="E204" s="5" t="s">
        <v>898</v>
      </c>
      <c r="F204" s="398" t="s">
        <v>160</v>
      </c>
      <c r="G204" s="397">
        <v>0</v>
      </c>
      <c r="H204" s="397">
        <v>0</v>
      </c>
      <c r="I204" s="192"/>
    </row>
    <row r="205" spans="1:9" ht="31.5" x14ac:dyDescent="0.25">
      <c r="A205" s="394" t="s">
        <v>237</v>
      </c>
      <c r="B205" s="391">
        <v>902</v>
      </c>
      <c r="C205" s="395" t="s">
        <v>150</v>
      </c>
      <c r="D205" s="395" t="s">
        <v>238</v>
      </c>
      <c r="E205" s="395"/>
      <c r="F205" s="395"/>
      <c r="G205" s="393">
        <f>G206+G213</f>
        <v>414.2</v>
      </c>
      <c r="H205" s="393">
        <f>H206+H213</f>
        <v>424.8</v>
      </c>
      <c r="I205" s="192"/>
    </row>
    <row r="206" spans="1:9" ht="31.5" x14ac:dyDescent="0.25">
      <c r="A206" s="394" t="s">
        <v>916</v>
      </c>
      <c r="B206" s="391">
        <v>902</v>
      </c>
      <c r="C206" s="395" t="s">
        <v>150</v>
      </c>
      <c r="D206" s="395" t="s">
        <v>238</v>
      </c>
      <c r="E206" s="395" t="s">
        <v>857</v>
      </c>
      <c r="F206" s="395"/>
      <c r="G206" s="393">
        <f>G207</f>
        <v>264.2</v>
      </c>
      <c r="H206" s="393">
        <f>H207</f>
        <v>274.8</v>
      </c>
      <c r="I206" s="192"/>
    </row>
    <row r="207" spans="1:9" ht="31.5" x14ac:dyDescent="0.25">
      <c r="A207" s="394" t="s">
        <v>884</v>
      </c>
      <c r="B207" s="391">
        <v>902</v>
      </c>
      <c r="C207" s="395" t="s">
        <v>150</v>
      </c>
      <c r="D207" s="395" t="s">
        <v>238</v>
      </c>
      <c r="E207" s="395" t="s">
        <v>862</v>
      </c>
      <c r="F207" s="395"/>
      <c r="G207" s="393">
        <f>G208</f>
        <v>264.2</v>
      </c>
      <c r="H207" s="393">
        <f>H208</f>
        <v>274.8</v>
      </c>
      <c r="I207" s="192"/>
    </row>
    <row r="208" spans="1:9" ht="63" x14ac:dyDescent="0.25">
      <c r="A208" s="31" t="s">
        <v>241</v>
      </c>
      <c r="B208" s="390">
        <v>902</v>
      </c>
      <c r="C208" s="392" t="s">
        <v>150</v>
      </c>
      <c r="D208" s="392" t="s">
        <v>238</v>
      </c>
      <c r="E208" s="392" t="s">
        <v>923</v>
      </c>
      <c r="F208" s="392"/>
      <c r="G208" s="397">
        <f>G209+G211</f>
        <v>264.2</v>
      </c>
      <c r="H208" s="397">
        <f>H209+H211</f>
        <v>274.8</v>
      </c>
      <c r="I208" s="192"/>
    </row>
    <row r="209" spans="1:9" ht="78.75" x14ac:dyDescent="0.25">
      <c r="A209" s="396" t="s">
        <v>127</v>
      </c>
      <c r="B209" s="390">
        <v>902</v>
      </c>
      <c r="C209" s="392" t="s">
        <v>150</v>
      </c>
      <c r="D209" s="392" t="s">
        <v>238</v>
      </c>
      <c r="E209" s="392" t="s">
        <v>923</v>
      </c>
      <c r="F209" s="392" t="s">
        <v>128</v>
      </c>
      <c r="G209" s="397">
        <f>G210</f>
        <v>205.8</v>
      </c>
      <c r="H209" s="397">
        <f>H210</f>
        <v>205.8</v>
      </c>
      <c r="I209" s="192"/>
    </row>
    <row r="210" spans="1:9" ht="31.5" x14ac:dyDescent="0.25">
      <c r="A210" s="396" t="s">
        <v>129</v>
      </c>
      <c r="B210" s="390">
        <v>902</v>
      </c>
      <c r="C210" s="392" t="s">
        <v>150</v>
      </c>
      <c r="D210" s="392" t="s">
        <v>238</v>
      </c>
      <c r="E210" s="392" t="s">
        <v>923</v>
      </c>
      <c r="F210" s="392" t="s">
        <v>130</v>
      </c>
      <c r="G210" s="397">
        <f>187+18.8</f>
        <v>205.8</v>
      </c>
      <c r="H210" s="397">
        <f t="shared" si="11"/>
        <v>205.8</v>
      </c>
      <c r="I210" s="192"/>
    </row>
    <row r="211" spans="1:9" ht="31.5" x14ac:dyDescent="0.25">
      <c r="A211" s="396" t="s">
        <v>131</v>
      </c>
      <c r="B211" s="390">
        <v>902</v>
      </c>
      <c r="C211" s="392" t="s">
        <v>150</v>
      </c>
      <c r="D211" s="392" t="s">
        <v>238</v>
      </c>
      <c r="E211" s="392" t="s">
        <v>923</v>
      </c>
      <c r="F211" s="392" t="s">
        <v>132</v>
      </c>
      <c r="G211" s="397">
        <f>G212</f>
        <v>58.4</v>
      </c>
      <c r="H211" s="397">
        <f>H212</f>
        <v>69</v>
      </c>
      <c r="I211" s="192"/>
    </row>
    <row r="212" spans="1:9" ht="31.5" x14ac:dyDescent="0.25">
      <c r="A212" s="396" t="s">
        <v>133</v>
      </c>
      <c r="B212" s="390">
        <v>902</v>
      </c>
      <c r="C212" s="392" t="s">
        <v>150</v>
      </c>
      <c r="D212" s="392" t="s">
        <v>238</v>
      </c>
      <c r="E212" s="392" t="s">
        <v>923</v>
      </c>
      <c r="F212" s="392" t="s">
        <v>134</v>
      </c>
      <c r="G212" s="397">
        <f>101.8-43.4</f>
        <v>58.4</v>
      </c>
      <c r="H212" s="397">
        <v>69</v>
      </c>
      <c r="I212" s="192"/>
    </row>
    <row r="213" spans="1:9" ht="47.25" x14ac:dyDescent="0.25">
      <c r="A213" s="394" t="s">
        <v>1335</v>
      </c>
      <c r="B213" s="391">
        <v>902</v>
      </c>
      <c r="C213" s="395" t="s">
        <v>150</v>
      </c>
      <c r="D213" s="395" t="s">
        <v>238</v>
      </c>
      <c r="E213" s="395" t="s">
        <v>156</v>
      </c>
      <c r="F213" s="395"/>
      <c r="G213" s="393">
        <f t="shared" ref="G213:H215" si="13">G214</f>
        <v>150</v>
      </c>
      <c r="H213" s="393">
        <f t="shared" si="13"/>
        <v>150</v>
      </c>
      <c r="I213" s="192"/>
    </row>
    <row r="214" spans="1:9" ht="47.25" x14ac:dyDescent="0.25">
      <c r="A214" s="394" t="s">
        <v>1065</v>
      </c>
      <c r="B214" s="391">
        <v>902</v>
      </c>
      <c r="C214" s="395" t="s">
        <v>150</v>
      </c>
      <c r="D214" s="395" t="s">
        <v>238</v>
      </c>
      <c r="E214" s="395" t="s">
        <v>1062</v>
      </c>
      <c r="F214" s="395"/>
      <c r="G214" s="393">
        <f t="shared" si="13"/>
        <v>150</v>
      </c>
      <c r="H214" s="393">
        <f t="shared" si="13"/>
        <v>150</v>
      </c>
      <c r="I214" s="192"/>
    </row>
    <row r="215" spans="1:9" ht="31.5" x14ac:dyDescent="0.25">
      <c r="A215" s="396" t="s">
        <v>1066</v>
      </c>
      <c r="B215" s="390">
        <v>902</v>
      </c>
      <c r="C215" s="392" t="s">
        <v>150</v>
      </c>
      <c r="D215" s="392" t="s">
        <v>238</v>
      </c>
      <c r="E215" s="392" t="s">
        <v>1063</v>
      </c>
      <c r="F215" s="392"/>
      <c r="G215" s="397">
        <f t="shared" si="13"/>
        <v>150</v>
      </c>
      <c r="H215" s="397">
        <f t="shared" si="13"/>
        <v>150</v>
      </c>
      <c r="I215" s="192"/>
    </row>
    <row r="216" spans="1:9" ht="15.75" x14ac:dyDescent="0.25">
      <c r="A216" s="396" t="s">
        <v>135</v>
      </c>
      <c r="B216" s="390">
        <v>902</v>
      </c>
      <c r="C216" s="392" t="s">
        <v>150</v>
      </c>
      <c r="D216" s="392" t="s">
        <v>238</v>
      </c>
      <c r="E216" s="392" t="s">
        <v>1063</v>
      </c>
      <c r="F216" s="392" t="s">
        <v>145</v>
      </c>
      <c r="G216" s="397">
        <f>G217</f>
        <v>150</v>
      </c>
      <c r="H216" s="397">
        <f t="shared" si="11"/>
        <v>150</v>
      </c>
      <c r="I216" s="192"/>
    </row>
    <row r="217" spans="1:9" ht="47.25" x14ac:dyDescent="0.25">
      <c r="A217" s="396" t="s">
        <v>184</v>
      </c>
      <c r="B217" s="390">
        <v>902</v>
      </c>
      <c r="C217" s="392" t="s">
        <v>150</v>
      </c>
      <c r="D217" s="392" t="s">
        <v>238</v>
      </c>
      <c r="E217" s="392" t="s">
        <v>1063</v>
      </c>
      <c r="F217" s="392" t="s">
        <v>160</v>
      </c>
      <c r="G217" s="157">
        <v>150</v>
      </c>
      <c r="H217" s="157">
        <f t="shared" si="11"/>
        <v>150</v>
      </c>
      <c r="I217" s="192"/>
    </row>
    <row r="218" spans="1:9" ht="15.75" x14ac:dyDescent="0.25">
      <c r="A218" s="394" t="s">
        <v>243</v>
      </c>
      <c r="B218" s="391">
        <v>902</v>
      </c>
      <c r="C218" s="395" t="s">
        <v>244</v>
      </c>
      <c r="D218" s="395"/>
      <c r="E218" s="395"/>
      <c r="F218" s="395"/>
      <c r="G218" s="393">
        <f>G219+G225+G234</f>
        <v>13475.699999999999</v>
      </c>
      <c r="H218" s="393">
        <f>H219+H225+H234</f>
        <v>13431.699999999999</v>
      </c>
      <c r="I218" s="192"/>
    </row>
    <row r="219" spans="1:9" ht="15.75" x14ac:dyDescent="0.25">
      <c r="A219" s="394" t="s">
        <v>245</v>
      </c>
      <c r="B219" s="391">
        <v>902</v>
      </c>
      <c r="C219" s="395" t="s">
        <v>244</v>
      </c>
      <c r="D219" s="395" t="s">
        <v>118</v>
      </c>
      <c r="E219" s="395"/>
      <c r="F219" s="395"/>
      <c r="G219" s="393">
        <f t="shared" ref="G219:H223" si="14">G220</f>
        <v>9815.2999999999993</v>
      </c>
      <c r="H219" s="393">
        <f t="shared" si="14"/>
        <v>9815.2999999999993</v>
      </c>
      <c r="I219" s="192"/>
    </row>
    <row r="220" spans="1:9" ht="15.75" x14ac:dyDescent="0.25">
      <c r="A220" s="394" t="s">
        <v>141</v>
      </c>
      <c r="B220" s="391">
        <v>902</v>
      </c>
      <c r="C220" s="395" t="s">
        <v>244</v>
      </c>
      <c r="D220" s="395" t="s">
        <v>118</v>
      </c>
      <c r="E220" s="395" t="s">
        <v>865</v>
      </c>
      <c r="F220" s="395"/>
      <c r="G220" s="393">
        <f t="shared" si="14"/>
        <v>9815.2999999999993</v>
      </c>
      <c r="H220" s="393">
        <f t="shared" si="14"/>
        <v>9815.2999999999993</v>
      </c>
      <c r="I220" s="192"/>
    </row>
    <row r="221" spans="1:9" ht="31.5" x14ac:dyDescent="0.25">
      <c r="A221" s="394" t="s">
        <v>869</v>
      </c>
      <c r="B221" s="391">
        <v>902</v>
      </c>
      <c r="C221" s="395" t="s">
        <v>244</v>
      </c>
      <c r="D221" s="395" t="s">
        <v>118</v>
      </c>
      <c r="E221" s="395" t="s">
        <v>864</v>
      </c>
      <c r="F221" s="395"/>
      <c r="G221" s="393">
        <f t="shared" si="14"/>
        <v>9815.2999999999993</v>
      </c>
      <c r="H221" s="393">
        <f t="shared" si="14"/>
        <v>9815.2999999999993</v>
      </c>
      <c r="I221" s="192"/>
    </row>
    <row r="222" spans="1:9" ht="15.75" x14ac:dyDescent="0.25">
      <c r="A222" s="396" t="s">
        <v>246</v>
      </c>
      <c r="B222" s="390">
        <v>902</v>
      </c>
      <c r="C222" s="392" t="s">
        <v>244</v>
      </c>
      <c r="D222" s="392" t="s">
        <v>118</v>
      </c>
      <c r="E222" s="392" t="s">
        <v>880</v>
      </c>
      <c r="F222" s="392"/>
      <c r="G222" s="397">
        <f t="shared" si="14"/>
        <v>9815.2999999999993</v>
      </c>
      <c r="H222" s="397">
        <f t="shared" si="14"/>
        <v>9815.2999999999993</v>
      </c>
      <c r="I222" s="192"/>
    </row>
    <row r="223" spans="1:9" ht="22.7" customHeight="1" x14ac:dyDescent="0.25">
      <c r="A223" s="396" t="s">
        <v>248</v>
      </c>
      <c r="B223" s="390">
        <v>902</v>
      </c>
      <c r="C223" s="392" t="s">
        <v>244</v>
      </c>
      <c r="D223" s="392" t="s">
        <v>118</v>
      </c>
      <c r="E223" s="392" t="s">
        <v>880</v>
      </c>
      <c r="F223" s="392" t="s">
        <v>249</v>
      </c>
      <c r="G223" s="397">
        <f t="shared" si="14"/>
        <v>9815.2999999999993</v>
      </c>
      <c r="H223" s="397">
        <f t="shared" si="14"/>
        <v>9815.2999999999993</v>
      </c>
      <c r="I223" s="192"/>
    </row>
    <row r="224" spans="1:9" ht="31.5" x14ac:dyDescent="0.25">
      <c r="A224" s="396" t="s">
        <v>348</v>
      </c>
      <c r="B224" s="390">
        <v>902</v>
      </c>
      <c r="C224" s="392" t="s">
        <v>244</v>
      </c>
      <c r="D224" s="392" t="s">
        <v>118</v>
      </c>
      <c r="E224" s="392" t="s">
        <v>880</v>
      </c>
      <c r="F224" s="392" t="s">
        <v>349</v>
      </c>
      <c r="G224" s="397">
        <v>9815.2999999999993</v>
      </c>
      <c r="H224" s="397">
        <f t="shared" si="11"/>
        <v>9815.2999999999993</v>
      </c>
      <c r="I224" s="192"/>
    </row>
    <row r="225" spans="1:9" ht="15.75" x14ac:dyDescent="0.25">
      <c r="A225" s="394" t="s">
        <v>252</v>
      </c>
      <c r="B225" s="391">
        <v>902</v>
      </c>
      <c r="C225" s="395" t="s">
        <v>244</v>
      </c>
      <c r="D225" s="395" t="s">
        <v>215</v>
      </c>
      <c r="E225" s="392"/>
      <c r="F225" s="392"/>
      <c r="G225" s="393">
        <f>G226</f>
        <v>10</v>
      </c>
      <c r="H225" s="393">
        <f>H226</f>
        <v>10</v>
      </c>
      <c r="I225" s="192"/>
    </row>
    <row r="226" spans="1:9" ht="63" x14ac:dyDescent="0.25">
      <c r="A226" s="394" t="s">
        <v>1345</v>
      </c>
      <c r="B226" s="391">
        <v>902</v>
      </c>
      <c r="C226" s="395" t="s">
        <v>244</v>
      </c>
      <c r="D226" s="395" t="s">
        <v>215</v>
      </c>
      <c r="E226" s="395" t="s">
        <v>254</v>
      </c>
      <c r="F226" s="395"/>
      <c r="G226" s="393">
        <f>G227</f>
        <v>10</v>
      </c>
      <c r="H226" s="393">
        <f>H227</f>
        <v>10</v>
      </c>
      <c r="I226" s="192"/>
    </row>
    <row r="227" spans="1:9" ht="47.25" x14ac:dyDescent="0.25">
      <c r="A227" s="394" t="s">
        <v>883</v>
      </c>
      <c r="B227" s="391">
        <v>902</v>
      </c>
      <c r="C227" s="395" t="s">
        <v>244</v>
      </c>
      <c r="D227" s="395" t="s">
        <v>215</v>
      </c>
      <c r="E227" s="395" t="s">
        <v>881</v>
      </c>
      <c r="F227" s="395"/>
      <c r="G227" s="393">
        <f>G228+G231</f>
        <v>10</v>
      </c>
      <c r="H227" s="393">
        <f>H228+H231</f>
        <v>10</v>
      </c>
      <c r="I227" s="192"/>
    </row>
    <row r="228" spans="1:9" ht="31.5" x14ac:dyDescent="0.25">
      <c r="A228" s="396" t="s">
        <v>882</v>
      </c>
      <c r="B228" s="390">
        <v>902</v>
      </c>
      <c r="C228" s="392" t="s">
        <v>244</v>
      </c>
      <c r="D228" s="392" t="s">
        <v>215</v>
      </c>
      <c r="E228" s="392" t="s">
        <v>1186</v>
      </c>
      <c r="F228" s="392"/>
      <c r="G228" s="397">
        <f>G229</f>
        <v>10</v>
      </c>
      <c r="H228" s="397">
        <f>H229</f>
        <v>10</v>
      </c>
      <c r="I228" s="192"/>
    </row>
    <row r="229" spans="1:9" ht="19.5" customHeight="1" x14ac:dyDescent="0.25">
      <c r="A229" s="396" t="s">
        <v>248</v>
      </c>
      <c r="B229" s="390">
        <v>902</v>
      </c>
      <c r="C229" s="392" t="s">
        <v>244</v>
      </c>
      <c r="D229" s="392" t="s">
        <v>215</v>
      </c>
      <c r="E229" s="392" t="s">
        <v>1186</v>
      </c>
      <c r="F229" s="392" t="s">
        <v>249</v>
      </c>
      <c r="G229" s="397">
        <f>G230</f>
        <v>10</v>
      </c>
      <c r="H229" s="397">
        <f>H230</f>
        <v>10</v>
      </c>
      <c r="I229" s="192"/>
    </row>
    <row r="230" spans="1:9" ht="31.5" x14ac:dyDescent="0.25">
      <c r="A230" s="396" t="s">
        <v>250</v>
      </c>
      <c r="B230" s="390">
        <v>902</v>
      </c>
      <c r="C230" s="392" t="s">
        <v>244</v>
      </c>
      <c r="D230" s="392" t="s">
        <v>215</v>
      </c>
      <c r="E230" s="392" t="s">
        <v>1186</v>
      </c>
      <c r="F230" s="392" t="s">
        <v>251</v>
      </c>
      <c r="G230" s="397">
        <f>10</f>
        <v>10</v>
      </c>
      <c r="H230" s="397">
        <f t="shared" si="11"/>
        <v>10</v>
      </c>
      <c r="I230" s="192"/>
    </row>
    <row r="231" spans="1:9" ht="63" hidden="1" x14ac:dyDescent="0.25">
      <c r="A231" s="396" t="s">
        <v>1185</v>
      </c>
      <c r="B231" s="390">
        <v>902</v>
      </c>
      <c r="C231" s="392" t="s">
        <v>244</v>
      </c>
      <c r="D231" s="392" t="s">
        <v>215</v>
      </c>
      <c r="E231" s="392" t="s">
        <v>1173</v>
      </c>
      <c r="F231" s="392"/>
      <c r="G231" s="397">
        <f>G232</f>
        <v>0</v>
      </c>
      <c r="H231" s="397">
        <f>H232</f>
        <v>0</v>
      </c>
      <c r="I231" s="192"/>
    </row>
    <row r="232" spans="1:9" ht="20.25" hidden="1" customHeight="1" x14ac:dyDescent="0.25">
      <c r="A232" s="396" t="s">
        <v>248</v>
      </c>
      <c r="B232" s="390">
        <v>902</v>
      </c>
      <c r="C232" s="392" t="s">
        <v>244</v>
      </c>
      <c r="D232" s="392" t="s">
        <v>215</v>
      </c>
      <c r="E232" s="392" t="s">
        <v>1173</v>
      </c>
      <c r="F232" s="392" t="s">
        <v>249</v>
      </c>
      <c r="G232" s="397">
        <f>G233</f>
        <v>0</v>
      </c>
      <c r="H232" s="397">
        <f>H233</f>
        <v>0</v>
      </c>
      <c r="I232" s="192"/>
    </row>
    <row r="233" spans="1:9" ht="31.5" hidden="1" x14ac:dyDescent="0.25">
      <c r="A233" s="396" t="s">
        <v>250</v>
      </c>
      <c r="B233" s="390">
        <v>902</v>
      </c>
      <c r="C233" s="392" t="s">
        <v>244</v>
      </c>
      <c r="D233" s="392" t="s">
        <v>215</v>
      </c>
      <c r="E233" s="392" t="s">
        <v>1173</v>
      </c>
      <c r="F233" s="392" t="s">
        <v>251</v>
      </c>
      <c r="G233" s="397">
        <v>0</v>
      </c>
      <c r="H233" s="397">
        <v>0</v>
      </c>
      <c r="I233" s="192"/>
    </row>
    <row r="234" spans="1:9" ht="15.75" x14ac:dyDescent="0.25">
      <c r="A234" s="394" t="s">
        <v>258</v>
      </c>
      <c r="B234" s="391">
        <v>902</v>
      </c>
      <c r="C234" s="395" t="s">
        <v>244</v>
      </c>
      <c r="D234" s="395" t="s">
        <v>120</v>
      </c>
      <c r="E234" s="395"/>
      <c r="F234" s="395"/>
      <c r="G234" s="393">
        <f t="shared" ref="G234:H236" si="15">G235</f>
        <v>3650.4</v>
      </c>
      <c r="H234" s="393">
        <f t="shared" si="15"/>
        <v>3606.4</v>
      </c>
      <c r="I234" s="192"/>
    </row>
    <row r="235" spans="1:9" ht="31.5" x14ac:dyDescent="0.25">
      <c r="A235" s="394" t="s">
        <v>916</v>
      </c>
      <c r="B235" s="391">
        <v>902</v>
      </c>
      <c r="C235" s="395" t="s">
        <v>244</v>
      </c>
      <c r="D235" s="395" t="s">
        <v>120</v>
      </c>
      <c r="E235" s="395" t="s">
        <v>857</v>
      </c>
      <c r="F235" s="395"/>
      <c r="G235" s="393">
        <f t="shared" si="15"/>
        <v>3650.4</v>
      </c>
      <c r="H235" s="393">
        <f t="shared" si="15"/>
        <v>3606.4</v>
      </c>
      <c r="I235" s="192"/>
    </row>
    <row r="236" spans="1:9" ht="31.5" x14ac:dyDescent="0.25">
      <c r="A236" s="394" t="s">
        <v>884</v>
      </c>
      <c r="B236" s="391">
        <v>902</v>
      </c>
      <c r="C236" s="395" t="s">
        <v>244</v>
      </c>
      <c r="D236" s="395" t="s">
        <v>120</v>
      </c>
      <c r="E236" s="395" t="s">
        <v>862</v>
      </c>
      <c r="F236" s="395"/>
      <c r="G236" s="393">
        <f t="shared" si="15"/>
        <v>3650.4</v>
      </c>
      <c r="H236" s="393">
        <f t="shared" si="15"/>
        <v>3606.4</v>
      </c>
      <c r="I236" s="192"/>
    </row>
    <row r="237" spans="1:9" ht="47.25" x14ac:dyDescent="0.25">
      <c r="A237" s="31" t="s">
        <v>259</v>
      </c>
      <c r="B237" s="390">
        <v>902</v>
      </c>
      <c r="C237" s="392" t="s">
        <v>244</v>
      </c>
      <c r="D237" s="392" t="s">
        <v>120</v>
      </c>
      <c r="E237" s="392" t="s">
        <v>924</v>
      </c>
      <c r="F237" s="392"/>
      <c r="G237" s="397">
        <f>G238+G240</f>
        <v>3650.4</v>
      </c>
      <c r="H237" s="397">
        <f>H238+H240</f>
        <v>3606.4</v>
      </c>
      <c r="I237" s="192"/>
    </row>
    <row r="238" spans="1:9" ht="78.75" x14ac:dyDescent="0.25">
      <c r="A238" s="396" t="s">
        <v>127</v>
      </c>
      <c r="B238" s="390">
        <v>902</v>
      </c>
      <c r="C238" s="392" t="s">
        <v>244</v>
      </c>
      <c r="D238" s="392" t="s">
        <v>120</v>
      </c>
      <c r="E238" s="392" t="s">
        <v>924</v>
      </c>
      <c r="F238" s="392" t="s">
        <v>128</v>
      </c>
      <c r="G238" s="397">
        <f>G239</f>
        <v>3249.8</v>
      </c>
      <c r="H238" s="397">
        <f>H239</f>
        <v>3205.8</v>
      </c>
      <c r="I238" s="192"/>
    </row>
    <row r="239" spans="1:9" ht="31.5" x14ac:dyDescent="0.25">
      <c r="A239" s="396" t="s">
        <v>129</v>
      </c>
      <c r="B239" s="390">
        <v>902</v>
      </c>
      <c r="C239" s="392" t="s">
        <v>244</v>
      </c>
      <c r="D239" s="392" t="s">
        <v>120</v>
      </c>
      <c r="E239" s="392" t="s">
        <v>924</v>
      </c>
      <c r="F239" s="392" t="s">
        <v>130</v>
      </c>
      <c r="G239" s="397">
        <v>3249.8</v>
      </c>
      <c r="H239" s="397">
        <v>3205.8</v>
      </c>
      <c r="I239" s="192"/>
    </row>
    <row r="240" spans="1:9" ht="31.5" x14ac:dyDescent="0.25">
      <c r="A240" s="396" t="s">
        <v>131</v>
      </c>
      <c r="B240" s="390">
        <v>902</v>
      </c>
      <c r="C240" s="392" t="s">
        <v>244</v>
      </c>
      <c r="D240" s="392" t="s">
        <v>120</v>
      </c>
      <c r="E240" s="392" t="s">
        <v>924</v>
      </c>
      <c r="F240" s="392" t="s">
        <v>132</v>
      </c>
      <c r="G240" s="397">
        <f>G241</f>
        <v>400.6</v>
      </c>
      <c r="H240" s="397">
        <f>H241</f>
        <v>400.6</v>
      </c>
      <c r="I240" s="192"/>
    </row>
    <row r="241" spans="1:12" ht="31.5" x14ac:dyDescent="0.25">
      <c r="A241" s="396" t="s">
        <v>133</v>
      </c>
      <c r="B241" s="390">
        <v>902</v>
      </c>
      <c r="C241" s="392" t="s">
        <v>244</v>
      </c>
      <c r="D241" s="392" t="s">
        <v>120</v>
      </c>
      <c r="E241" s="392" t="s">
        <v>924</v>
      </c>
      <c r="F241" s="392" t="s">
        <v>134</v>
      </c>
      <c r="G241" s="397">
        <v>400.6</v>
      </c>
      <c r="H241" s="397">
        <f t="shared" si="11"/>
        <v>400.6</v>
      </c>
      <c r="I241" s="192"/>
    </row>
    <row r="242" spans="1:12" ht="47.25" x14ac:dyDescent="0.25">
      <c r="A242" s="391" t="s">
        <v>261</v>
      </c>
      <c r="B242" s="391">
        <v>903</v>
      </c>
      <c r="C242" s="392"/>
      <c r="D242" s="392"/>
      <c r="E242" s="392"/>
      <c r="F242" s="392"/>
      <c r="G242" s="393">
        <f>G293+G357+G445+G243+G273+G468</f>
        <v>104757.7</v>
      </c>
      <c r="H242" s="393">
        <f>H293+H357+H445+H243+H273+H468</f>
        <v>106518</v>
      </c>
      <c r="I242" s="192"/>
    </row>
    <row r="243" spans="1:12" ht="15.75" x14ac:dyDescent="0.25">
      <c r="A243" s="394" t="s">
        <v>117</v>
      </c>
      <c r="B243" s="391">
        <v>903</v>
      </c>
      <c r="C243" s="395" t="s">
        <v>118</v>
      </c>
      <c r="D243" s="392"/>
      <c r="E243" s="392"/>
      <c r="F243" s="392"/>
      <c r="G243" s="393">
        <f>G244</f>
        <v>225</v>
      </c>
      <c r="H243" s="393">
        <f>H244</f>
        <v>625</v>
      </c>
      <c r="I243" s="192"/>
    </row>
    <row r="244" spans="1:12" ht="15.75" x14ac:dyDescent="0.25">
      <c r="A244" s="394" t="s">
        <v>139</v>
      </c>
      <c r="B244" s="391">
        <v>903</v>
      </c>
      <c r="C244" s="395" t="s">
        <v>118</v>
      </c>
      <c r="D244" s="395" t="s">
        <v>140</v>
      </c>
      <c r="E244" s="392"/>
      <c r="F244" s="392"/>
      <c r="G244" s="393">
        <f>G245+G251+G268</f>
        <v>225</v>
      </c>
      <c r="H244" s="393">
        <f>H245+H251+H268</f>
        <v>625</v>
      </c>
      <c r="I244" s="192"/>
    </row>
    <row r="245" spans="1:12" ht="47.25" x14ac:dyDescent="0.25">
      <c r="A245" s="394" t="s">
        <v>1365</v>
      </c>
      <c r="B245" s="391">
        <v>903</v>
      </c>
      <c r="C245" s="8" t="s">
        <v>118</v>
      </c>
      <c r="D245" s="8" t="s">
        <v>140</v>
      </c>
      <c r="E245" s="187" t="s">
        <v>344</v>
      </c>
      <c r="F245" s="8"/>
      <c r="G245" s="393">
        <f t="shared" ref="G245:H249" si="16">G246</f>
        <v>200</v>
      </c>
      <c r="H245" s="393">
        <f t="shared" si="16"/>
        <v>500</v>
      </c>
      <c r="I245" s="192"/>
      <c r="L245" s="216"/>
    </row>
    <row r="246" spans="1:12" ht="78.75" x14ac:dyDescent="0.25">
      <c r="A246" s="400" t="s">
        <v>1347</v>
      </c>
      <c r="B246" s="391">
        <v>903</v>
      </c>
      <c r="C246" s="7" t="s">
        <v>118</v>
      </c>
      <c r="D246" s="7" t="s">
        <v>140</v>
      </c>
      <c r="E246" s="7" t="s">
        <v>359</v>
      </c>
      <c r="F246" s="7"/>
      <c r="G246" s="393">
        <f t="shared" si="16"/>
        <v>200</v>
      </c>
      <c r="H246" s="393">
        <f t="shared" si="16"/>
        <v>500</v>
      </c>
      <c r="I246" s="192"/>
    </row>
    <row r="247" spans="1:12" ht="63" x14ac:dyDescent="0.25">
      <c r="A247" s="232" t="s">
        <v>1045</v>
      </c>
      <c r="B247" s="391">
        <v>903</v>
      </c>
      <c r="C247" s="7" t="s">
        <v>118</v>
      </c>
      <c r="D247" s="7" t="s">
        <v>140</v>
      </c>
      <c r="E247" s="7" t="s">
        <v>908</v>
      </c>
      <c r="F247" s="7"/>
      <c r="G247" s="393">
        <f t="shared" si="16"/>
        <v>200</v>
      </c>
      <c r="H247" s="393">
        <f t="shared" si="16"/>
        <v>500</v>
      </c>
      <c r="I247" s="192"/>
    </row>
    <row r="248" spans="1:12" ht="31.5" x14ac:dyDescent="0.25">
      <c r="A248" s="98" t="s">
        <v>1046</v>
      </c>
      <c r="B248" s="390">
        <v>903</v>
      </c>
      <c r="C248" s="399" t="s">
        <v>118</v>
      </c>
      <c r="D248" s="399" t="s">
        <v>140</v>
      </c>
      <c r="E248" s="399" t="s">
        <v>1196</v>
      </c>
      <c r="F248" s="399"/>
      <c r="G248" s="397">
        <f t="shared" si="16"/>
        <v>200</v>
      </c>
      <c r="H248" s="397">
        <f t="shared" si="16"/>
        <v>500</v>
      </c>
      <c r="I248" s="192"/>
    </row>
    <row r="249" spans="1:12" ht="31.5" x14ac:dyDescent="0.25">
      <c r="A249" s="29" t="s">
        <v>131</v>
      </c>
      <c r="B249" s="390">
        <v>903</v>
      </c>
      <c r="C249" s="399" t="s">
        <v>118</v>
      </c>
      <c r="D249" s="399" t="s">
        <v>140</v>
      </c>
      <c r="E249" s="399" t="s">
        <v>1196</v>
      </c>
      <c r="F249" s="399" t="s">
        <v>132</v>
      </c>
      <c r="G249" s="397">
        <f t="shared" si="16"/>
        <v>200</v>
      </c>
      <c r="H249" s="397">
        <f t="shared" si="16"/>
        <v>500</v>
      </c>
      <c r="I249" s="192"/>
    </row>
    <row r="250" spans="1:12" ht="31.5" x14ac:dyDescent="0.25">
      <c r="A250" s="29" t="s">
        <v>133</v>
      </c>
      <c r="B250" s="390">
        <v>903</v>
      </c>
      <c r="C250" s="399" t="s">
        <v>118</v>
      </c>
      <c r="D250" s="399" t="s">
        <v>140</v>
      </c>
      <c r="E250" s="399" t="s">
        <v>1196</v>
      </c>
      <c r="F250" s="399" t="s">
        <v>134</v>
      </c>
      <c r="G250" s="397">
        <v>200</v>
      </c>
      <c r="H250" s="397">
        <v>500</v>
      </c>
      <c r="I250" s="192"/>
    </row>
    <row r="251" spans="1:12" ht="47.25" x14ac:dyDescent="0.25">
      <c r="A251" s="394" t="s">
        <v>1348</v>
      </c>
      <c r="B251" s="391">
        <v>903</v>
      </c>
      <c r="C251" s="395" t="s">
        <v>118</v>
      </c>
      <c r="D251" s="395" t="s">
        <v>140</v>
      </c>
      <c r="E251" s="395" t="s">
        <v>335</v>
      </c>
      <c r="F251" s="395"/>
      <c r="G251" s="393">
        <f>G252</f>
        <v>20</v>
      </c>
      <c r="H251" s="393">
        <f>H252</f>
        <v>120</v>
      </c>
      <c r="I251" s="192"/>
    </row>
    <row r="252" spans="1:12" ht="31.5" x14ac:dyDescent="0.25">
      <c r="A252" s="394" t="s">
        <v>1050</v>
      </c>
      <c r="B252" s="391">
        <v>903</v>
      </c>
      <c r="C252" s="395" t="s">
        <v>118</v>
      </c>
      <c r="D252" s="395" t="s">
        <v>140</v>
      </c>
      <c r="E252" s="395" t="s">
        <v>1051</v>
      </c>
      <c r="F252" s="395"/>
      <c r="G252" s="393">
        <f>G253+G262+G256+G259+G265</f>
        <v>20</v>
      </c>
      <c r="H252" s="393">
        <f>H253+H262+H256+H259+H265</f>
        <v>120</v>
      </c>
      <c r="I252" s="192"/>
    </row>
    <row r="253" spans="1:12" ht="31.5" x14ac:dyDescent="0.25">
      <c r="A253" s="97" t="s">
        <v>336</v>
      </c>
      <c r="B253" s="390">
        <v>903</v>
      </c>
      <c r="C253" s="392" t="s">
        <v>118</v>
      </c>
      <c r="D253" s="392" t="s">
        <v>140</v>
      </c>
      <c r="E253" s="392" t="s">
        <v>1052</v>
      </c>
      <c r="F253" s="392"/>
      <c r="G253" s="397">
        <f>'[1]Пр.5 ведом.21'!G238</f>
        <v>0</v>
      </c>
      <c r="H253" s="397">
        <f>H254</f>
        <v>100</v>
      </c>
      <c r="I253" s="192"/>
    </row>
    <row r="254" spans="1:12" ht="31.5" x14ac:dyDescent="0.25">
      <c r="A254" s="396" t="s">
        <v>131</v>
      </c>
      <c r="B254" s="390">
        <v>903</v>
      </c>
      <c r="C254" s="392" t="s">
        <v>118</v>
      </c>
      <c r="D254" s="392" t="s">
        <v>140</v>
      </c>
      <c r="E254" s="392" t="s">
        <v>1052</v>
      </c>
      <c r="F254" s="392" t="s">
        <v>132</v>
      </c>
      <c r="G254" s="397">
        <f>'[1]Пр.5 ведом.21'!G239</f>
        <v>0</v>
      </c>
      <c r="H254" s="397">
        <f>H255</f>
        <v>100</v>
      </c>
      <c r="I254" s="192"/>
    </row>
    <row r="255" spans="1:12" ht="31.5" x14ac:dyDescent="0.25">
      <c r="A255" s="396" t="s">
        <v>133</v>
      </c>
      <c r="B255" s="390">
        <v>903</v>
      </c>
      <c r="C255" s="392" t="s">
        <v>118</v>
      </c>
      <c r="D255" s="392" t="s">
        <v>140</v>
      </c>
      <c r="E255" s="392" t="s">
        <v>1052</v>
      </c>
      <c r="F255" s="392" t="s">
        <v>134</v>
      </c>
      <c r="G255" s="397">
        <f>'[1]Пр.5 ведом.21'!G240</f>
        <v>0</v>
      </c>
      <c r="H255" s="397">
        <v>100</v>
      </c>
      <c r="I255" s="192"/>
    </row>
    <row r="256" spans="1:12" ht="31.5" hidden="1" x14ac:dyDescent="0.25">
      <c r="A256" s="97" t="s">
        <v>336</v>
      </c>
      <c r="B256" s="390">
        <v>906</v>
      </c>
      <c r="C256" s="392" t="s">
        <v>118</v>
      </c>
      <c r="D256" s="392" t="s">
        <v>140</v>
      </c>
      <c r="E256" s="392" t="s">
        <v>1052</v>
      </c>
      <c r="F256" s="392"/>
      <c r="G256" s="397">
        <f>G257</f>
        <v>0</v>
      </c>
      <c r="H256" s="397">
        <f>H257</f>
        <v>0</v>
      </c>
      <c r="I256" s="192"/>
    </row>
    <row r="257" spans="1:9" ht="31.5" hidden="1" x14ac:dyDescent="0.25">
      <c r="A257" s="396" t="s">
        <v>131</v>
      </c>
      <c r="B257" s="390">
        <v>906</v>
      </c>
      <c r="C257" s="392" t="s">
        <v>118</v>
      </c>
      <c r="D257" s="392" t="s">
        <v>140</v>
      </c>
      <c r="E257" s="392" t="s">
        <v>1052</v>
      </c>
      <c r="F257" s="392" t="s">
        <v>132</v>
      </c>
      <c r="G257" s="397">
        <f>G258</f>
        <v>0</v>
      </c>
      <c r="H257" s="397">
        <f>H258</f>
        <v>0</v>
      </c>
      <c r="I257" s="192"/>
    </row>
    <row r="258" spans="1:9" ht="31.5" hidden="1" x14ac:dyDescent="0.25">
      <c r="A258" s="396" t="s">
        <v>133</v>
      </c>
      <c r="B258" s="390">
        <v>906</v>
      </c>
      <c r="C258" s="392" t="s">
        <v>118</v>
      </c>
      <c r="D258" s="392" t="s">
        <v>140</v>
      </c>
      <c r="E258" s="392" t="s">
        <v>1052</v>
      </c>
      <c r="F258" s="392" t="s">
        <v>134</v>
      </c>
      <c r="G258" s="397">
        <v>0</v>
      </c>
      <c r="H258" s="397">
        <v>0</v>
      </c>
      <c r="I258" s="192"/>
    </row>
    <row r="259" spans="1:9" ht="15.75" hidden="1" x14ac:dyDescent="0.25">
      <c r="A259" s="396" t="s">
        <v>993</v>
      </c>
      <c r="B259" s="390">
        <v>903</v>
      </c>
      <c r="C259" s="392" t="s">
        <v>118</v>
      </c>
      <c r="D259" s="392" t="s">
        <v>140</v>
      </c>
      <c r="E259" s="392" t="s">
        <v>1055</v>
      </c>
      <c r="F259" s="392"/>
      <c r="G259" s="397">
        <f>'[1]Пр.5 ведом.21'!G247</f>
        <v>0</v>
      </c>
      <c r="H259" s="397">
        <f t="shared" ref="H259:H299" si="17">G259</f>
        <v>0</v>
      </c>
      <c r="I259" s="192"/>
    </row>
    <row r="260" spans="1:9" ht="31.5" hidden="1" x14ac:dyDescent="0.25">
      <c r="A260" s="396" t="s">
        <v>131</v>
      </c>
      <c r="B260" s="390">
        <v>903</v>
      </c>
      <c r="C260" s="392" t="s">
        <v>118</v>
      </c>
      <c r="D260" s="392" t="s">
        <v>140</v>
      </c>
      <c r="E260" s="392" t="s">
        <v>1055</v>
      </c>
      <c r="F260" s="392" t="s">
        <v>132</v>
      </c>
      <c r="G260" s="397">
        <f>'[1]Пр.5 ведом.21'!G248</f>
        <v>0</v>
      </c>
      <c r="H260" s="397">
        <f t="shared" si="17"/>
        <v>0</v>
      </c>
      <c r="I260" s="192"/>
    </row>
    <row r="261" spans="1:9" ht="31.5" hidden="1" x14ac:dyDescent="0.25">
      <c r="A261" s="396" t="s">
        <v>133</v>
      </c>
      <c r="B261" s="390">
        <v>903</v>
      </c>
      <c r="C261" s="392" t="s">
        <v>118</v>
      </c>
      <c r="D261" s="392" t="s">
        <v>140</v>
      </c>
      <c r="E261" s="392" t="s">
        <v>1055</v>
      </c>
      <c r="F261" s="392" t="s">
        <v>134</v>
      </c>
      <c r="G261" s="397">
        <f>'[1]Пр.5 ведом.21'!G249</f>
        <v>0</v>
      </c>
      <c r="H261" s="397">
        <f t="shared" si="17"/>
        <v>0</v>
      </c>
      <c r="I261" s="192"/>
    </row>
    <row r="262" spans="1:9" ht="31.5" x14ac:dyDescent="0.25">
      <c r="A262" s="396" t="s">
        <v>338</v>
      </c>
      <c r="B262" s="390">
        <v>903</v>
      </c>
      <c r="C262" s="392" t="s">
        <v>118</v>
      </c>
      <c r="D262" s="392" t="s">
        <v>140</v>
      </c>
      <c r="E262" s="392" t="s">
        <v>1053</v>
      </c>
      <c r="F262" s="392"/>
      <c r="G262" s="397">
        <f>G263</f>
        <v>20</v>
      </c>
      <c r="H262" s="397">
        <f>H263</f>
        <v>20</v>
      </c>
      <c r="I262" s="192"/>
    </row>
    <row r="263" spans="1:9" ht="31.5" x14ac:dyDescent="0.25">
      <c r="A263" s="396" t="s">
        <v>131</v>
      </c>
      <c r="B263" s="390">
        <v>903</v>
      </c>
      <c r="C263" s="392" t="s">
        <v>118</v>
      </c>
      <c r="D263" s="392" t="s">
        <v>140</v>
      </c>
      <c r="E263" s="392" t="s">
        <v>1053</v>
      </c>
      <c r="F263" s="392" t="s">
        <v>132</v>
      </c>
      <c r="G263" s="397">
        <f>G264</f>
        <v>20</v>
      </c>
      <c r="H263" s="397">
        <f>H264</f>
        <v>20</v>
      </c>
      <c r="I263" s="192"/>
    </row>
    <row r="264" spans="1:9" ht="31.5" x14ac:dyDescent="0.25">
      <c r="A264" s="396" t="s">
        <v>133</v>
      </c>
      <c r="B264" s="390">
        <v>903</v>
      </c>
      <c r="C264" s="392" t="s">
        <v>118</v>
      </c>
      <c r="D264" s="392" t="s">
        <v>140</v>
      </c>
      <c r="E264" s="392" t="s">
        <v>1053</v>
      </c>
      <c r="F264" s="392" t="s">
        <v>134</v>
      </c>
      <c r="G264" s="397">
        <v>20</v>
      </c>
      <c r="H264" s="397">
        <v>20</v>
      </c>
      <c r="I264" s="192"/>
    </row>
    <row r="265" spans="1:9" ht="31.5" hidden="1" x14ac:dyDescent="0.25">
      <c r="A265" s="31" t="s">
        <v>772</v>
      </c>
      <c r="B265" s="390">
        <v>903</v>
      </c>
      <c r="C265" s="392" t="s">
        <v>118</v>
      </c>
      <c r="D265" s="392" t="s">
        <v>140</v>
      </c>
      <c r="E265" s="392" t="s">
        <v>1056</v>
      </c>
      <c r="F265" s="392"/>
      <c r="G265" s="397">
        <f>G266</f>
        <v>0</v>
      </c>
      <c r="H265" s="397">
        <f>H266</f>
        <v>0</v>
      </c>
      <c r="I265" s="192"/>
    </row>
    <row r="266" spans="1:9" ht="31.5" hidden="1" x14ac:dyDescent="0.25">
      <c r="A266" s="396" t="s">
        <v>131</v>
      </c>
      <c r="B266" s="390">
        <v>903</v>
      </c>
      <c r="C266" s="392" t="s">
        <v>118</v>
      </c>
      <c r="D266" s="392" t="s">
        <v>140</v>
      </c>
      <c r="E266" s="392" t="s">
        <v>1056</v>
      </c>
      <c r="F266" s="392" t="s">
        <v>132</v>
      </c>
      <c r="G266" s="397">
        <f>G267</f>
        <v>0</v>
      </c>
      <c r="H266" s="397">
        <f>H267</f>
        <v>0</v>
      </c>
      <c r="I266" s="192"/>
    </row>
    <row r="267" spans="1:9" ht="31.5" hidden="1" x14ac:dyDescent="0.25">
      <c r="A267" s="396" t="s">
        <v>133</v>
      </c>
      <c r="B267" s="390">
        <v>903</v>
      </c>
      <c r="C267" s="392" t="s">
        <v>118</v>
      </c>
      <c r="D267" s="392" t="s">
        <v>140</v>
      </c>
      <c r="E267" s="392" t="s">
        <v>1056</v>
      </c>
      <c r="F267" s="392" t="s">
        <v>134</v>
      </c>
      <c r="G267" s="397">
        <v>0</v>
      </c>
      <c r="H267" s="397">
        <f t="shared" si="17"/>
        <v>0</v>
      </c>
      <c r="I267" s="192"/>
    </row>
    <row r="268" spans="1:9" ht="47.25" x14ac:dyDescent="0.25">
      <c r="A268" s="400" t="s">
        <v>1351</v>
      </c>
      <c r="B268" s="391">
        <v>903</v>
      </c>
      <c r="C268" s="395" t="s">
        <v>118</v>
      </c>
      <c r="D268" s="395" t="s">
        <v>140</v>
      </c>
      <c r="E268" s="395" t="s">
        <v>705</v>
      </c>
      <c r="F268" s="395"/>
      <c r="G268" s="393">
        <f>G270</f>
        <v>5</v>
      </c>
      <c r="H268" s="393">
        <f>H270</f>
        <v>5</v>
      </c>
      <c r="I268" s="192"/>
    </row>
    <row r="269" spans="1:9" ht="47.25" x14ac:dyDescent="0.25">
      <c r="A269" s="195" t="s">
        <v>845</v>
      </c>
      <c r="B269" s="391">
        <v>903</v>
      </c>
      <c r="C269" s="395" t="s">
        <v>118</v>
      </c>
      <c r="D269" s="395" t="s">
        <v>140</v>
      </c>
      <c r="E269" s="395" t="s">
        <v>851</v>
      </c>
      <c r="F269" s="395"/>
      <c r="G269" s="393">
        <f t="shared" ref="G269:H271" si="18">G270</f>
        <v>5</v>
      </c>
      <c r="H269" s="393">
        <f t="shared" si="18"/>
        <v>5</v>
      </c>
      <c r="I269" s="192"/>
    </row>
    <row r="270" spans="1:9" ht="31.5" x14ac:dyDescent="0.25">
      <c r="A270" s="98" t="s">
        <v>776</v>
      </c>
      <c r="B270" s="390">
        <v>903</v>
      </c>
      <c r="C270" s="392" t="s">
        <v>118</v>
      </c>
      <c r="D270" s="392" t="s">
        <v>140</v>
      </c>
      <c r="E270" s="392" t="s">
        <v>846</v>
      </c>
      <c r="F270" s="392"/>
      <c r="G270" s="397">
        <f t="shared" si="18"/>
        <v>5</v>
      </c>
      <c r="H270" s="397">
        <f t="shared" si="18"/>
        <v>5</v>
      </c>
      <c r="I270" s="192"/>
    </row>
    <row r="271" spans="1:9" ht="31.5" x14ac:dyDescent="0.25">
      <c r="A271" s="396" t="s">
        <v>131</v>
      </c>
      <c r="B271" s="390">
        <v>903</v>
      </c>
      <c r="C271" s="392" t="s">
        <v>118</v>
      </c>
      <c r="D271" s="392" t="s">
        <v>140</v>
      </c>
      <c r="E271" s="392" t="s">
        <v>846</v>
      </c>
      <c r="F271" s="392" t="s">
        <v>132</v>
      </c>
      <c r="G271" s="397">
        <f t="shared" si="18"/>
        <v>5</v>
      </c>
      <c r="H271" s="397">
        <f t="shared" si="18"/>
        <v>5</v>
      </c>
      <c r="I271" s="192"/>
    </row>
    <row r="272" spans="1:9" ht="31.5" x14ac:dyDescent="0.25">
      <c r="A272" s="396" t="s">
        <v>133</v>
      </c>
      <c r="B272" s="390">
        <v>903</v>
      </c>
      <c r="C272" s="392" t="s">
        <v>118</v>
      </c>
      <c r="D272" s="392" t="s">
        <v>140</v>
      </c>
      <c r="E272" s="392" t="s">
        <v>846</v>
      </c>
      <c r="F272" s="392" t="s">
        <v>134</v>
      </c>
      <c r="G272" s="397">
        <f>5</f>
        <v>5</v>
      </c>
      <c r="H272" s="397">
        <f t="shared" si="17"/>
        <v>5</v>
      </c>
      <c r="I272" s="192"/>
    </row>
    <row r="273" spans="1:9" ht="15.75" x14ac:dyDescent="0.25">
      <c r="A273" s="201" t="s">
        <v>232</v>
      </c>
      <c r="B273" s="391">
        <v>903</v>
      </c>
      <c r="C273" s="395" t="s">
        <v>150</v>
      </c>
      <c r="D273" s="392"/>
      <c r="E273" s="392"/>
      <c r="F273" s="398"/>
      <c r="G273" s="393">
        <f t="shared" ref="G273:H275" si="19">G274</f>
        <v>260</v>
      </c>
      <c r="H273" s="393">
        <f t="shared" si="19"/>
        <v>260</v>
      </c>
      <c r="I273" s="192"/>
    </row>
    <row r="274" spans="1:9" ht="31.5" x14ac:dyDescent="0.25">
      <c r="A274" s="394" t="s">
        <v>237</v>
      </c>
      <c r="B274" s="391">
        <v>903</v>
      </c>
      <c r="C274" s="395" t="s">
        <v>150</v>
      </c>
      <c r="D274" s="395" t="s">
        <v>238</v>
      </c>
      <c r="E274" s="392"/>
      <c r="F274" s="398"/>
      <c r="G274" s="393">
        <f t="shared" si="19"/>
        <v>260</v>
      </c>
      <c r="H274" s="393">
        <f t="shared" si="19"/>
        <v>260</v>
      </c>
      <c r="I274" s="192"/>
    </row>
    <row r="275" spans="1:9" ht="47.25" x14ac:dyDescent="0.25">
      <c r="A275" s="394" t="s">
        <v>1365</v>
      </c>
      <c r="B275" s="391">
        <v>903</v>
      </c>
      <c r="C275" s="395" t="s">
        <v>150</v>
      </c>
      <c r="D275" s="395" t="s">
        <v>238</v>
      </c>
      <c r="E275" s="395" t="s">
        <v>344</v>
      </c>
      <c r="F275" s="403"/>
      <c r="G275" s="393">
        <f t="shared" si="19"/>
        <v>260</v>
      </c>
      <c r="H275" s="393">
        <f t="shared" si="19"/>
        <v>260</v>
      </c>
      <c r="I275" s="192"/>
    </row>
    <row r="276" spans="1:9" ht="64.5" customHeight="1" x14ac:dyDescent="0.25">
      <c r="A276" s="394" t="s">
        <v>367</v>
      </c>
      <c r="B276" s="391">
        <v>903</v>
      </c>
      <c r="C276" s="395" t="s">
        <v>150</v>
      </c>
      <c r="D276" s="395" t="s">
        <v>238</v>
      </c>
      <c r="E276" s="395" t="s">
        <v>356</v>
      </c>
      <c r="F276" s="395"/>
      <c r="G276" s="393">
        <f>G277+G281+G285+G289</f>
        <v>260</v>
      </c>
      <c r="H276" s="393">
        <f>H277+H281+H285+H289</f>
        <v>260</v>
      </c>
      <c r="I276" s="192"/>
    </row>
    <row r="277" spans="1:9" ht="47.25" hidden="1" x14ac:dyDescent="0.25">
      <c r="A277" s="199" t="s">
        <v>1043</v>
      </c>
      <c r="B277" s="391">
        <v>903</v>
      </c>
      <c r="C277" s="395" t="s">
        <v>150</v>
      </c>
      <c r="D277" s="395" t="s">
        <v>238</v>
      </c>
      <c r="E277" s="395" t="s">
        <v>906</v>
      </c>
      <c r="F277" s="395"/>
      <c r="G277" s="393">
        <f>G278</f>
        <v>0</v>
      </c>
      <c r="H277" s="393">
        <f>H278</f>
        <v>0</v>
      </c>
      <c r="I277" s="192"/>
    </row>
    <row r="278" spans="1:9" ht="47.25" hidden="1" x14ac:dyDescent="0.25">
      <c r="A278" s="396" t="s">
        <v>375</v>
      </c>
      <c r="B278" s="390">
        <v>903</v>
      </c>
      <c r="C278" s="392" t="s">
        <v>150</v>
      </c>
      <c r="D278" s="392" t="s">
        <v>238</v>
      </c>
      <c r="E278" s="392" t="s">
        <v>1314</v>
      </c>
      <c r="F278" s="392"/>
      <c r="G278" s="397">
        <f>'[1]Пр.5 ведом.21'!G263</f>
        <v>0</v>
      </c>
      <c r="H278" s="397">
        <f t="shared" si="17"/>
        <v>0</v>
      </c>
      <c r="I278" s="192"/>
    </row>
    <row r="279" spans="1:9" ht="31.5" hidden="1" x14ac:dyDescent="0.25">
      <c r="A279" s="396" t="s">
        <v>248</v>
      </c>
      <c r="B279" s="390">
        <v>903</v>
      </c>
      <c r="C279" s="392" t="s">
        <v>150</v>
      </c>
      <c r="D279" s="392" t="s">
        <v>238</v>
      </c>
      <c r="E279" s="392" t="s">
        <v>1314</v>
      </c>
      <c r="F279" s="392" t="s">
        <v>249</v>
      </c>
      <c r="G279" s="397">
        <f>'[1]Пр.5 ведом.21'!G264</f>
        <v>0</v>
      </c>
      <c r="H279" s="397">
        <f t="shared" si="17"/>
        <v>0</v>
      </c>
      <c r="I279" s="192"/>
    </row>
    <row r="280" spans="1:9" ht="31.5" hidden="1" x14ac:dyDescent="0.25">
      <c r="A280" s="396" t="s">
        <v>250</v>
      </c>
      <c r="B280" s="390">
        <v>903</v>
      </c>
      <c r="C280" s="392" t="s">
        <v>150</v>
      </c>
      <c r="D280" s="392" t="s">
        <v>238</v>
      </c>
      <c r="E280" s="392" t="s">
        <v>1314</v>
      </c>
      <c r="F280" s="392" t="s">
        <v>251</v>
      </c>
      <c r="G280" s="397">
        <f>'[1]Пр.5 ведом.21'!G265</f>
        <v>0</v>
      </c>
      <c r="H280" s="397">
        <f t="shared" si="17"/>
        <v>0</v>
      </c>
      <c r="I280" s="192"/>
    </row>
    <row r="281" spans="1:9" ht="31.5" x14ac:dyDescent="0.25">
      <c r="A281" s="394" t="s">
        <v>1041</v>
      </c>
      <c r="B281" s="391">
        <v>903</v>
      </c>
      <c r="C281" s="395" t="s">
        <v>150</v>
      </c>
      <c r="D281" s="395" t="s">
        <v>238</v>
      </c>
      <c r="E281" s="395" t="s">
        <v>1197</v>
      </c>
      <c r="F281" s="395"/>
      <c r="G281" s="393">
        <f t="shared" ref="G281:H283" si="20">G282</f>
        <v>260</v>
      </c>
      <c r="H281" s="393">
        <f t="shared" si="20"/>
        <v>260</v>
      </c>
      <c r="I281" s="192"/>
    </row>
    <row r="282" spans="1:9" ht="110.25" x14ac:dyDescent="0.25">
      <c r="A282" s="396" t="s">
        <v>1485</v>
      </c>
      <c r="B282" s="390">
        <v>903</v>
      </c>
      <c r="C282" s="392" t="s">
        <v>150</v>
      </c>
      <c r="D282" s="392" t="s">
        <v>238</v>
      </c>
      <c r="E282" s="392" t="s">
        <v>1198</v>
      </c>
      <c r="F282" s="392"/>
      <c r="G282" s="397">
        <f t="shared" si="20"/>
        <v>260</v>
      </c>
      <c r="H282" s="397">
        <f t="shared" si="20"/>
        <v>260</v>
      </c>
      <c r="I282" s="192"/>
    </row>
    <row r="283" spans="1:9" ht="31.5" x14ac:dyDescent="0.25">
      <c r="A283" s="396" t="s">
        <v>272</v>
      </c>
      <c r="B283" s="390">
        <v>903</v>
      </c>
      <c r="C283" s="392" t="s">
        <v>150</v>
      </c>
      <c r="D283" s="392" t="s">
        <v>238</v>
      </c>
      <c r="E283" s="392" t="s">
        <v>1198</v>
      </c>
      <c r="F283" s="392" t="s">
        <v>273</v>
      </c>
      <c r="G283" s="397">
        <f t="shared" si="20"/>
        <v>260</v>
      </c>
      <c r="H283" s="397">
        <f t="shared" si="20"/>
        <v>260</v>
      </c>
      <c r="I283" s="192"/>
    </row>
    <row r="284" spans="1:9" ht="63" x14ac:dyDescent="0.25">
      <c r="A284" s="396" t="s">
        <v>1090</v>
      </c>
      <c r="B284" s="390">
        <v>903</v>
      </c>
      <c r="C284" s="392" t="s">
        <v>150</v>
      </c>
      <c r="D284" s="392" t="s">
        <v>238</v>
      </c>
      <c r="E284" s="392" t="s">
        <v>1198</v>
      </c>
      <c r="F284" s="392" t="s">
        <v>372</v>
      </c>
      <c r="G284" s="397">
        <f>60+200</f>
        <v>260</v>
      </c>
      <c r="H284" s="397">
        <f t="shared" si="17"/>
        <v>260</v>
      </c>
      <c r="I284" s="192"/>
    </row>
    <row r="285" spans="1:9" ht="31.5" hidden="1" x14ac:dyDescent="0.25">
      <c r="A285" s="394" t="s">
        <v>994</v>
      </c>
      <c r="B285" s="391">
        <v>903</v>
      </c>
      <c r="C285" s="395" t="s">
        <v>150</v>
      </c>
      <c r="D285" s="395" t="s">
        <v>238</v>
      </c>
      <c r="E285" s="395" t="s">
        <v>1307</v>
      </c>
      <c r="F285" s="395"/>
      <c r="G285" s="393">
        <f>G286</f>
        <v>0</v>
      </c>
      <c r="H285" s="393">
        <f>H286</f>
        <v>0</v>
      </c>
      <c r="I285" s="192"/>
    </row>
    <row r="286" spans="1:9" ht="31.5" hidden="1" x14ac:dyDescent="0.25">
      <c r="A286" s="234" t="s">
        <v>1044</v>
      </c>
      <c r="B286" s="390">
        <v>903</v>
      </c>
      <c r="C286" s="392" t="s">
        <v>150</v>
      </c>
      <c r="D286" s="392" t="s">
        <v>238</v>
      </c>
      <c r="E286" s="392" t="s">
        <v>1308</v>
      </c>
      <c r="F286" s="392"/>
      <c r="G286" s="397">
        <f>'[1]Пр.5 ведом.21'!G271</f>
        <v>0</v>
      </c>
      <c r="H286" s="397">
        <f t="shared" si="17"/>
        <v>0</v>
      </c>
      <c r="I286" s="192"/>
    </row>
    <row r="287" spans="1:9" ht="31.5" hidden="1" x14ac:dyDescent="0.25">
      <c r="A287" s="396" t="s">
        <v>131</v>
      </c>
      <c r="B287" s="390">
        <v>903</v>
      </c>
      <c r="C287" s="392" t="s">
        <v>150</v>
      </c>
      <c r="D287" s="392" t="s">
        <v>238</v>
      </c>
      <c r="E287" s="392" t="s">
        <v>1308</v>
      </c>
      <c r="F287" s="392" t="s">
        <v>132</v>
      </c>
      <c r="G287" s="397">
        <f>'[1]Пр.5 ведом.21'!G272</f>
        <v>0</v>
      </c>
      <c r="H287" s="397">
        <f t="shared" si="17"/>
        <v>0</v>
      </c>
      <c r="I287" s="192"/>
    </row>
    <row r="288" spans="1:9" ht="31.5" hidden="1" x14ac:dyDescent="0.25">
      <c r="A288" s="396" t="s">
        <v>133</v>
      </c>
      <c r="B288" s="390">
        <v>903</v>
      </c>
      <c r="C288" s="392" t="s">
        <v>150</v>
      </c>
      <c r="D288" s="392" t="s">
        <v>238</v>
      </c>
      <c r="E288" s="392" t="s">
        <v>1308</v>
      </c>
      <c r="F288" s="392" t="s">
        <v>134</v>
      </c>
      <c r="G288" s="397">
        <f>'[1]Пр.5 ведом.21'!G273</f>
        <v>0</v>
      </c>
      <c r="H288" s="397">
        <f t="shared" si="17"/>
        <v>0</v>
      </c>
      <c r="I288" s="192"/>
    </row>
    <row r="289" spans="1:9" ht="31.5" hidden="1" x14ac:dyDescent="0.25">
      <c r="A289" s="402" t="s">
        <v>1103</v>
      </c>
      <c r="B289" s="391">
        <v>903</v>
      </c>
      <c r="C289" s="395" t="s">
        <v>150</v>
      </c>
      <c r="D289" s="395" t="s">
        <v>238</v>
      </c>
      <c r="E289" s="395" t="s">
        <v>1199</v>
      </c>
      <c r="F289" s="395"/>
      <c r="G289" s="393">
        <f t="shared" ref="G289:H291" si="21">G290</f>
        <v>0</v>
      </c>
      <c r="H289" s="393">
        <f t="shared" si="21"/>
        <v>0</v>
      </c>
      <c r="I289" s="192"/>
    </row>
    <row r="290" spans="1:9" ht="31.5" hidden="1" x14ac:dyDescent="0.25">
      <c r="A290" s="215" t="s">
        <v>1104</v>
      </c>
      <c r="B290" s="390">
        <v>903</v>
      </c>
      <c r="C290" s="392" t="s">
        <v>150</v>
      </c>
      <c r="D290" s="392" t="s">
        <v>238</v>
      </c>
      <c r="E290" s="392" t="s">
        <v>1200</v>
      </c>
      <c r="F290" s="392"/>
      <c r="G290" s="397">
        <f t="shared" si="21"/>
        <v>0</v>
      </c>
      <c r="H290" s="397">
        <f t="shared" si="21"/>
        <v>0</v>
      </c>
      <c r="I290" s="192"/>
    </row>
    <row r="291" spans="1:9" ht="31.5" hidden="1" x14ac:dyDescent="0.25">
      <c r="A291" s="396" t="s">
        <v>131</v>
      </c>
      <c r="B291" s="390">
        <v>903</v>
      </c>
      <c r="C291" s="392" t="s">
        <v>150</v>
      </c>
      <c r="D291" s="392" t="s">
        <v>238</v>
      </c>
      <c r="E291" s="392" t="s">
        <v>1200</v>
      </c>
      <c r="F291" s="392" t="s">
        <v>132</v>
      </c>
      <c r="G291" s="397">
        <f t="shared" si="21"/>
        <v>0</v>
      </c>
      <c r="H291" s="397">
        <f t="shared" si="21"/>
        <v>0</v>
      </c>
      <c r="I291" s="192"/>
    </row>
    <row r="292" spans="1:9" ht="31.5" hidden="1" x14ac:dyDescent="0.25">
      <c r="A292" s="396" t="s">
        <v>133</v>
      </c>
      <c r="B292" s="390">
        <v>903</v>
      </c>
      <c r="C292" s="392" t="s">
        <v>150</v>
      </c>
      <c r="D292" s="392" t="s">
        <v>238</v>
      </c>
      <c r="E292" s="392" t="s">
        <v>1200</v>
      </c>
      <c r="F292" s="392" t="s">
        <v>134</v>
      </c>
      <c r="G292" s="397">
        <v>0</v>
      </c>
      <c r="H292" s="397">
        <v>0</v>
      </c>
      <c r="I292" s="192"/>
    </row>
    <row r="293" spans="1:9" ht="15.75" x14ac:dyDescent="0.25">
      <c r="A293" s="394" t="s">
        <v>263</v>
      </c>
      <c r="B293" s="391">
        <v>903</v>
      </c>
      <c r="C293" s="395" t="s">
        <v>264</v>
      </c>
      <c r="D293" s="392"/>
      <c r="E293" s="392"/>
      <c r="F293" s="392"/>
      <c r="G293" s="393">
        <f>G294+G337</f>
        <v>19986.610000000004</v>
      </c>
      <c r="H293" s="393">
        <f>H294+H337</f>
        <v>20065.210000000003</v>
      </c>
      <c r="I293" s="192"/>
    </row>
    <row r="294" spans="1:9" ht="15.75" x14ac:dyDescent="0.25">
      <c r="A294" s="394" t="s">
        <v>265</v>
      </c>
      <c r="B294" s="391">
        <v>903</v>
      </c>
      <c r="C294" s="395" t="s">
        <v>264</v>
      </c>
      <c r="D294" s="395" t="s">
        <v>215</v>
      </c>
      <c r="E294" s="395"/>
      <c r="F294" s="395"/>
      <c r="G294" s="393">
        <f>G295+G332+G327</f>
        <v>19226.610000000004</v>
      </c>
      <c r="H294" s="393">
        <f>H295+H332+H327</f>
        <v>19240.210000000003</v>
      </c>
      <c r="I294" s="192"/>
    </row>
    <row r="295" spans="1:9" ht="31.5" x14ac:dyDescent="0.25">
      <c r="A295" s="394" t="s">
        <v>1350</v>
      </c>
      <c r="B295" s="391">
        <v>903</v>
      </c>
      <c r="C295" s="395" t="s">
        <v>264</v>
      </c>
      <c r="D295" s="395" t="s">
        <v>215</v>
      </c>
      <c r="E295" s="395" t="s">
        <v>267</v>
      </c>
      <c r="F295" s="395"/>
      <c r="G295" s="393">
        <f>G296+G304+G313+G317</f>
        <v>18730.410000000003</v>
      </c>
      <c r="H295" s="393">
        <f>H296+H304+H313+H317</f>
        <v>18730.410000000003</v>
      </c>
      <c r="I295" s="192"/>
    </row>
    <row r="296" spans="1:9" ht="36" customHeight="1" x14ac:dyDescent="0.25">
      <c r="A296" s="394" t="s">
        <v>894</v>
      </c>
      <c r="B296" s="391">
        <v>903</v>
      </c>
      <c r="C296" s="395" t="s">
        <v>264</v>
      </c>
      <c r="D296" s="395" t="s">
        <v>215</v>
      </c>
      <c r="E296" s="395" t="s">
        <v>1201</v>
      </c>
      <c r="F296" s="395"/>
      <c r="G296" s="44">
        <f>G297</f>
        <v>15854.01</v>
      </c>
      <c r="H296" s="44">
        <f>H297</f>
        <v>15854.01</v>
      </c>
      <c r="I296" s="192"/>
    </row>
    <row r="297" spans="1:9" ht="15.75" x14ac:dyDescent="0.25">
      <c r="A297" s="396" t="s">
        <v>800</v>
      </c>
      <c r="B297" s="390">
        <v>903</v>
      </c>
      <c r="C297" s="392" t="s">
        <v>264</v>
      </c>
      <c r="D297" s="392" t="s">
        <v>215</v>
      </c>
      <c r="E297" s="392" t="s">
        <v>1202</v>
      </c>
      <c r="F297" s="392"/>
      <c r="G297" s="397">
        <f>G298+G300+G303</f>
        <v>15854.01</v>
      </c>
      <c r="H297" s="397">
        <f>H298+H300+H303</f>
        <v>15854.01</v>
      </c>
      <c r="I297" s="192"/>
    </row>
    <row r="298" spans="1:9" ht="78.75" x14ac:dyDescent="0.25">
      <c r="A298" s="396" t="s">
        <v>127</v>
      </c>
      <c r="B298" s="390">
        <v>903</v>
      </c>
      <c r="C298" s="392" t="s">
        <v>264</v>
      </c>
      <c r="D298" s="392" t="s">
        <v>215</v>
      </c>
      <c r="E298" s="392" t="s">
        <v>1202</v>
      </c>
      <c r="F298" s="392" t="s">
        <v>128</v>
      </c>
      <c r="G298" s="397">
        <f>G299</f>
        <v>14172.31</v>
      </c>
      <c r="H298" s="397">
        <f>H299</f>
        <v>14172.31</v>
      </c>
      <c r="I298" s="192"/>
    </row>
    <row r="299" spans="1:9" ht="21.2" customHeight="1" x14ac:dyDescent="0.25">
      <c r="A299" s="46" t="s">
        <v>342</v>
      </c>
      <c r="B299" s="390">
        <v>903</v>
      </c>
      <c r="C299" s="392" t="s">
        <v>264</v>
      </c>
      <c r="D299" s="392" t="s">
        <v>215</v>
      </c>
      <c r="E299" s="392" t="s">
        <v>1202</v>
      </c>
      <c r="F299" s="392" t="s">
        <v>209</v>
      </c>
      <c r="G299" s="397">
        <v>14172.31</v>
      </c>
      <c r="H299" s="397">
        <f t="shared" si="17"/>
        <v>14172.31</v>
      </c>
      <c r="I299" s="192"/>
    </row>
    <row r="300" spans="1:9" ht="31.5" x14ac:dyDescent="0.25">
      <c r="A300" s="396" t="s">
        <v>131</v>
      </c>
      <c r="B300" s="390">
        <v>903</v>
      </c>
      <c r="C300" s="392" t="s">
        <v>264</v>
      </c>
      <c r="D300" s="392" t="s">
        <v>215</v>
      </c>
      <c r="E300" s="392" t="s">
        <v>1202</v>
      </c>
      <c r="F300" s="392" t="s">
        <v>132</v>
      </c>
      <c r="G300" s="397">
        <f>G301</f>
        <v>1603.7</v>
      </c>
      <c r="H300" s="397">
        <f>H301</f>
        <v>1603.7</v>
      </c>
      <c r="I300" s="192"/>
    </row>
    <row r="301" spans="1:9" ht="31.5" x14ac:dyDescent="0.25">
      <c r="A301" s="396" t="s">
        <v>133</v>
      </c>
      <c r="B301" s="390">
        <v>903</v>
      </c>
      <c r="C301" s="392" t="s">
        <v>264</v>
      </c>
      <c r="D301" s="392" t="s">
        <v>215</v>
      </c>
      <c r="E301" s="392" t="s">
        <v>1202</v>
      </c>
      <c r="F301" s="392" t="s">
        <v>134</v>
      </c>
      <c r="G301" s="397">
        <v>1603.7</v>
      </c>
      <c r="H301" s="397">
        <f t="shared" ref="H301:H365" si="22">G301</f>
        <v>1603.7</v>
      </c>
      <c r="I301" s="192"/>
    </row>
    <row r="302" spans="1:9" ht="15.75" x14ac:dyDescent="0.25">
      <c r="A302" s="396" t="s">
        <v>135</v>
      </c>
      <c r="B302" s="390">
        <v>903</v>
      </c>
      <c r="C302" s="392" t="s">
        <v>264</v>
      </c>
      <c r="D302" s="392" t="s">
        <v>215</v>
      </c>
      <c r="E302" s="392" t="s">
        <v>1202</v>
      </c>
      <c r="F302" s="392" t="s">
        <v>145</v>
      </c>
      <c r="G302" s="397">
        <f>G303</f>
        <v>78</v>
      </c>
      <c r="H302" s="397">
        <f>H303</f>
        <v>78</v>
      </c>
      <c r="I302" s="192"/>
    </row>
    <row r="303" spans="1:9" ht="15.75" x14ac:dyDescent="0.25">
      <c r="A303" s="396" t="s">
        <v>704</v>
      </c>
      <c r="B303" s="390">
        <v>903</v>
      </c>
      <c r="C303" s="392" t="s">
        <v>264</v>
      </c>
      <c r="D303" s="392" t="s">
        <v>215</v>
      </c>
      <c r="E303" s="392" t="s">
        <v>1202</v>
      </c>
      <c r="F303" s="392" t="s">
        <v>138</v>
      </c>
      <c r="G303" s="397">
        <f>78</f>
        <v>78</v>
      </c>
      <c r="H303" s="397">
        <f t="shared" si="22"/>
        <v>78</v>
      </c>
      <c r="I303" s="192"/>
    </row>
    <row r="304" spans="1:9" ht="31.5" x14ac:dyDescent="0.25">
      <c r="A304" s="200" t="s">
        <v>1300</v>
      </c>
      <c r="B304" s="391">
        <v>903</v>
      </c>
      <c r="C304" s="395" t="s">
        <v>264</v>
      </c>
      <c r="D304" s="395" t="s">
        <v>215</v>
      </c>
      <c r="E304" s="395" t="s">
        <v>1203</v>
      </c>
      <c r="F304" s="395"/>
      <c r="G304" s="44">
        <f>G305+G308</f>
        <v>1295</v>
      </c>
      <c r="H304" s="44">
        <f>H305+H308</f>
        <v>1295</v>
      </c>
      <c r="I304" s="192"/>
    </row>
    <row r="305" spans="1:9" ht="39.200000000000003" customHeight="1" x14ac:dyDescent="0.25">
      <c r="A305" s="188" t="s">
        <v>799</v>
      </c>
      <c r="B305" s="390">
        <v>903</v>
      </c>
      <c r="C305" s="392" t="s">
        <v>264</v>
      </c>
      <c r="D305" s="392" t="s">
        <v>215</v>
      </c>
      <c r="E305" s="392" t="s">
        <v>1204</v>
      </c>
      <c r="F305" s="392"/>
      <c r="G305" s="397">
        <f t="shared" ref="G305:H306" si="23">G306</f>
        <v>45</v>
      </c>
      <c r="H305" s="397">
        <f t="shared" si="23"/>
        <v>45</v>
      </c>
      <c r="I305" s="192"/>
    </row>
    <row r="306" spans="1:9" ht="20.25" customHeight="1" x14ac:dyDescent="0.25">
      <c r="A306" s="396" t="s">
        <v>248</v>
      </c>
      <c r="B306" s="390">
        <v>903</v>
      </c>
      <c r="C306" s="392" t="s">
        <v>264</v>
      </c>
      <c r="D306" s="392" t="s">
        <v>215</v>
      </c>
      <c r="E306" s="392" t="s">
        <v>1204</v>
      </c>
      <c r="F306" s="392" t="s">
        <v>249</v>
      </c>
      <c r="G306" s="397">
        <f t="shared" si="23"/>
        <v>45</v>
      </c>
      <c r="H306" s="397">
        <f t="shared" si="23"/>
        <v>45</v>
      </c>
      <c r="I306" s="192"/>
    </row>
    <row r="307" spans="1:9" ht="15.75" x14ac:dyDescent="0.25">
      <c r="A307" s="396" t="s">
        <v>819</v>
      </c>
      <c r="B307" s="390">
        <v>903</v>
      </c>
      <c r="C307" s="392" t="s">
        <v>264</v>
      </c>
      <c r="D307" s="392" t="s">
        <v>215</v>
      </c>
      <c r="E307" s="392" t="s">
        <v>1204</v>
      </c>
      <c r="F307" s="392" t="s">
        <v>818</v>
      </c>
      <c r="G307" s="397">
        <f>45</f>
        <v>45</v>
      </c>
      <c r="H307" s="397">
        <f t="shared" si="22"/>
        <v>45</v>
      </c>
      <c r="I307" s="192"/>
    </row>
    <row r="308" spans="1:9" ht="31.5" x14ac:dyDescent="0.25">
      <c r="A308" s="31" t="s">
        <v>815</v>
      </c>
      <c r="B308" s="390">
        <v>903</v>
      </c>
      <c r="C308" s="392" t="s">
        <v>264</v>
      </c>
      <c r="D308" s="392" t="s">
        <v>215</v>
      </c>
      <c r="E308" s="392" t="s">
        <v>1205</v>
      </c>
      <c r="F308" s="392"/>
      <c r="G308" s="397">
        <f t="shared" ref="G308:H309" si="24">G309</f>
        <v>1250</v>
      </c>
      <c r="H308" s="397">
        <f t="shared" si="24"/>
        <v>1250</v>
      </c>
      <c r="I308" s="192"/>
    </row>
    <row r="309" spans="1:9" ht="78.75" x14ac:dyDescent="0.25">
      <c r="A309" s="396" t="s">
        <v>127</v>
      </c>
      <c r="B309" s="390">
        <v>903</v>
      </c>
      <c r="C309" s="392" t="s">
        <v>264</v>
      </c>
      <c r="D309" s="392" t="s">
        <v>215</v>
      </c>
      <c r="E309" s="392" t="s">
        <v>1205</v>
      </c>
      <c r="F309" s="392" t="s">
        <v>128</v>
      </c>
      <c r="G309" s="397">
        <f t="shared" si="24"/>
        <v>1250</v>
      </c>
      <c r="H309" s="397">
        <f t="shared" si="24"/>
        <v>1250</v>
      </c>
      <c r="I309" s="192"/>
    </row>
    <row r="310" spans="1:9" ht="24" customHeight="1" x14ac:dyDescent="0.25">
      <c r="A310" s="46" t="s">
        <v>342</v>
      </c>
      <c r="B310" s="390">
        <v>903</v>
      </c>
      <c r="C310" s="392" t="s">
        <v>264</v>
      </c>
      <c r="D310" s="392" t="s">
        <v>215</v>
      </c>
      <c r="E310" s="392" t="s">
        <v>1205</v>
      </c>
      <c r="F310" s="392" t="s">
        <v>209</v>
      </c>
      <c r="G310" s="397">
        <f>250+1000</f>
        <v>1250</v>
      </c>
      <c r="H310" s="397">
        <f t="shared" si="22"/>
        <v>1250</v>
      </c>
      <c r="I310" s="192"/>
    </row>
    <row r="311" spans="1:9" ht="31.5" hidden="1" x14ac:dyDescent="0.25">
      <c r="A311" s="396" t="s">
        <v>131</v>
      </c>
      <c r="B311" s="390">
        <v>903</v>
      </c>
      <c r="C311" s="392" t="s">
        <v>264</v>
      </c>
      <c r="D311" s="392" t="s">
        <v>215</v>
      </c>
      <c r="E311" s="392" t="s">
        <v>886</v>
      </c>
      <c r="F311" s="392" t="s">
        <v>132</v>
      </c>
      <c r="G311" s="397">
        <f>'[1]Пр.5 ведом.21'!G299</f>
        <v>0</v>
      </c>
      <c r="H311" s="397">
        <f t="shared" si="22"/>
        <v>0</v>
      </c>
      <c r="I311" s="192"/>
    </row>
    <row r="312" spans="1:9" ht="31.5" hidden="1" x14ac:dyDescent="0.25">
      <c r="A312" s="396" t="s">
        <v>133</v>
      </c>
      <c r="B312" s="390">
        <v>903</v>
      </c>
      <c r="C312" s="392" t="s">
        <v>264</v>
      </c>
      <c r="D312" s="392" t="s">
        <v>215</v>
      </c>
      <c r="E312" s="392" t="s">
        <v>886</v>
      </c>
      <c r="F312" s="392" t="s">
        <v>134</v>
      </c>
      <c r="G312" s="397">
        <f>'[1]Пр.5 ведом.21'!G300</f>
        <v>0</v>
      </c>
      <c r="H312" s="397">
        <f t="shared" si="22"/>
        <v>0</v>
      </c>
      <c r="I312" s="192"/>
    </row>
    <row r="313" spans="1:9" ht="31.5" x14ac:dyDescent="0.25">
      <c r="A313" s="394" t="s">
        <v>946</v>
      </c>
      <c r="B313" s="391">
        <v>903</v>
      </c>
      <c r="C313" s="395" t="s">
        <v>264</v>
      </c>
      <c r="D313" s="395" t="s">
        <v>215</v>
      </c>
      <c r="E313" s="395" t="s">
        <v>1206</v>
      </c>
      <c r="F313" s="395"/>
      <c r="G313" s="44">
        <f t="shared" ref="G313:H315" si="25">G314</f>
        <v>506</v>
      </c>
      <c r="H313" s="44">
        <f t="shared" si="25"/>
        <v>506</v>
      </c>
      <c r="I313" s="192"/>
    </row>
    <row r="314" spans="1:9" ht="47.25" x14ac:dyDescent="0.25">
      <c r="A314" s="396" t="s">
        <v>838</v>
      </c>
      <c r="B314" s="390">
        <v>903</v>
      </c>
      <c r="C314" s="392" t="s">
        <v>264</v>
      </c>
      <c r="D314" s="392" t="s">
        <v>215</v>
      </c>
      <c r="E314" s="392" t="s">
        <v>1207</v>
      </c>
      <c r="F314" s="392"/>
      <c r="G314" s="397">
        <f t="shared" si="25"/>
        <v>506</v>
      </c>
      <c r="H314" s="397">
        <f t="shared" si="25"/>
        <v>506</v>
      </c>
      <c r="I314" s="192"/>
    </row>
    <row r="315" spans="1:9" ht="78.75" x14ac:dyDescent="0.25">
      <c r="A315" s="396" t="s">
        <v>127</v>
      </c>
      <c r="B315" s="390">
        <v>903</v>
      </c>
      <c r="C315" s="392" t="s">
        <v>264</v>
      </c>
      <c r="D315" s="392" t="s">
        <v>215</v>
      </c>
      <c r="E315" s="392" t="s">
        <v>1207</v>
      </c>
      <c r="F315" s="392" t="s">
        <v>128</v>
      </c>
      <c r="G315" s="397">
        <f t="shared" si="25"/>
        <v>506</v>
      </c>
      <c r="H315" s="397">
        <f t="shared" si="25"/>
        <v>506</v>
      </c>
      <c r="I315" s="192"/>
    </row>
    <row r="316" spans="1:9" ht="31.5" x14ac:dyDescent="0.25">
      <c r="A316" s="396" t="s">
        <v>342</v>
      </c>
      <c r="B316" s="390">
        <v>903</v>
      </c>
      <c r="C316" s="392" t="s">
        <v>264</v>
      </c>
      <c r="D316" s="392" t="s">
        <v>215</v>
      </c>
      <c r="E316" s="392" t="s">
        <v>1207</v>
      </c>
      <c r="F316" s="392" t="s">
        <v>209</v>
      </c>
      <c r="G316" s="397">
        <v>506</v>
      </c>
      <c r="H316" s="397">
        <f t="shared" si="22"/>
        <v>506</v>
      </c>
      <c r="I316" s="192"/>
    </row>
    <row r="317" spans="1:9" ht="47.25" x14ac:dyDescent="0.25">
      <c r="A317" s="394" t="s">
        <v>899</v>
      </c>
      <c r="B317" s="391">
        <v>903</v>
      </c>
      <c r="C317" s="395" t="s">
        <v>264</v>
      </c>
      <c r="D317" s="395" t="s">
        <v>215</v>
      </c>
      <c r="E317" s="395" t="s">
        <v>1208</v>
      </c>
      <c r="F317" s="395"/>
      <c r="G317" s="44">
        <f>G321+G324+G318</f>
        <v>1075.4000000000001</v>
      </c>
      <c r="H317" s="44">
        <f>H321+H324+H318</f>
        <v>1075.4000000000001</v>
      </c>
      <c r="I317" s="192"/>
    </row>
    <row r="318" spans="1:9" ht="94.5" x14ac:dyDescent="0.25">
      <c r="A318" s="31" t="s">
        <v>293</v>
      </c>
      <c r="B318" s="390">
        <v>903</v>
      </c>
      <c r="C318" s="392" t="s">
        <v>264</v>
      </c>
      <c r="D318" s="392" t="s">
        <v>215</v>
      </c>
      <c r="E318" s="392" t="s">
        <v>1402</v>
      </c>
      <c r="F318" s="392"/>
      <c r="G318" s="397">
        <f>G319</f>
        <v>671</v>
      </c>
      <c r="H318" s="397">
        <f>H319</f>
        <v>671</v>
      </c>
      <c r="I318" s="192"/>
    </row>
    <row r="319" spans="1:9" ht="78.75" x14ac:dyDescent="0.25">
      <c r="A319" s="396" t="s">
        <v>127</v>
      </c>
      <c r="B319" s="390">
        <v>903</v>
      </c>
      <c r="C319" s="392" t="s">
        <v>264</v>
      </c>
      <c r="D319" s="392" t="s">
        <v>215</v>
      </c>
      <c r="E319" s="392" t="s">
        <v>1402</v>
      </c>
      <c r="F319" s="392" t="s">
        <v>128</v>
      </c>
      <c r="G319" s="397">
        <f>G320</f>
        <v>671</v>
      </c>
      <c r="H319" s="397">
        <f>H320</f>
        <v>671</v>
      </c>
      <c r="I319" s="192"/>
    </row>
    <row r="320" spans="1:9" ht="31.5" x14ac:dyDescent="0.25">
      <c r="A320" s="46" t="s">
        <v>342</v>
      </c>
      <c r="B320" s="390">
        <v>903</v>
      </c>
      <c r="C320" s="392" t="s">
        <v>264</v>
      </c>
      <c r="D320" s="392" t="s">
        <v>215</v>
      </c>
      <c r="E320" s="392" t="s">
        <v>1402</v>
      </c>
      <c r="F320" s="392" t="s">
        <v>209</v>
      </c>
      <c r="G320" s="397">
        <v>671</v>
      </c>
      <c r="H320" s="397">
        <f>G320</f>
        <v>671</v>
      </c>
      <c r="I320" s="192"/>
    </row>
    <row r="321" spans="1:9" ht="63" x14ac:dyDescent="0.25">
      <c r="A321" s="31" t="s">
        <v>289</v>
      </c>
      <c r="B321" s="390">
        <v>903</v>
      </c>
      <c r="C321" s="392" t="s">
        <v>264</v>
      </c>
      <c r="D321" s="392" t="s">
        <v>215</v>
      </c>
      <c r="E321" s="392" t="s">
        <v>1209</v>
      </c>
      <c r="F321" s="392"/>
      <c r="G321" s="397">
        <f>G322</f>
        <v>106</v>
      </c>
      <c r="H321" s="397">
        <f>H322</f>
        <v>106</v>
      </c>
      <c r="I321" s="192"/>
    </row>
    <row r="322" spans="1:9" ht="78.75" x14ac:dyDescent="0.25">
      <c r="A322" s="396" t="s">
        <v>127</v>
      </c>
      <c r="B322" s="390">
        <v>903</v>
      </c>
      <c r="C322" s="392" t="s">
        <v>264</v>
      </c>
      <c r="D322" s="392" t="s">
        <v>215</v>
      </c>
      <c r="E322" s="392" t="s">
        <v>1209</v>
      </c>
      <c r="F322" s="392" t="s">
        <v>128</v>
      </c>
      <c r="G322" s="397">
        <f>G323</f>
        <v>106</v>
      </c>
      <c r="H322" s="397">
        <f>H323</f>
        <v>106</v>
      </c>
      <c r="I322" s="192"/>
    </row>
    <row r="323" spans="1:9" ht="31.5" x14ac:dyDescent="0.25">
      <c r="A323" s="46" t="s">
        <v>342</v>
      </c>
      <c r="B323" s="390">
        <v>903</v>
      </c>
      <c r="C323" s="392" t="s">
        <v>264</v>
      </c>
      <c r="D323" s="392" t="s">
        <v>215</v>
      </c>
      <c r="E323" s="392" t="s">
        <v>1209</v>
      </c>
      <c r="F323" s="392" t="s">
        <v>209</v>
      </c>
      <c r="G323" s="397">
        <v>106</v>
      </c>
      <c r="H323" s="397">
        <f t="shared" si="22"/>
        <v>106</v>
      </c>
      <c r="I323" s="192"/>
    </row>
    <row r="324" spans="1:9" ht="63" x14ac:dyDescent="0.25">
      <c r="A324" s="31" t="s">
        <v>291</v>
      </c>
      <c r="B324" s="390">
        <v>903</v>
      </c>
      <c r="C324" s="392" t="s">
        <v>264</v>
      </c>
      <c r="D324" s="392" t="s">
        <v>215</v>
      </c>
      <c r="E324" s="392" t="s">
        <v>1210</v>
      </c>
      <c r="F324" s="392"/>
      <c r="G324" s="397">
        <f>G325</f>
        <v>298.39999999999998</v>
      </c>
      <c r="H324" s="397">
        <f t="shared" si="22"/>
        <v>298.39999999999998</v>
      </c>
      <c r="I324" s="192"/>
    </row>
    <row r="325" spans="1:9" ht="78.75" x14ac:dyDescent="0.25">
      <c r="A325" s="396" t="s">
        <v>127</v>
      </c>
      <c r="B325" s="390">
        <v>903</v>
      </c>
      <c r="C325" s="392" t="s">
        <v>264</v>
      </c>
      <c r="D325" s="392" t="s">
        <v>215</v>
      </c>
      <c r="E325" s="392" t="s">
        <v>1210</v>
      </c>
      <c r="F325" s="392" t="s">
        <v>128</v>
      </c>
      <c r="G325" s="397">
        <f>G326</f>
        <v>298.39999999999998</v>
      </c>
      <c r="H325" s="397">
        <f>H326</f>
        <v>298.39999999999998</v>
      </c>
      <c r="I325" s="192"/>
    </row>
    <row r="326" spans="1:9" ht="31.5" x14ac:dyDescent="0.25">
      <c r="A326" s="46" t="s">
        <v>342</v>
      </c>
      <c r="B326" s="390">
        <v>903</v>
      </c>
      <c r="C326" s="392" t="s">
        <v>264</v>
      </c>
      <c r="D326" s="392" t="s">
        <v>215</v>
      </c>
      <c r="E326" s="392" t="s">
        <v>1210</v>
      </c>
      <c r="F326" s="392" t="s">
        <v>209</v>
      </c>
      <c r="G326" s="397">
        <f>298.4</f>
        <v>298.39999999999998</v>
      </c>
      <c r="H326" s="397">
        <f t="shared" si="22"/>
        <v>298.39999999999998</v>
      </c>
      <c r="I326" s="192"/>
    </row>
    <row r="327" spans="1:9" ht="47.25" x14ac:dyDescent="0.25">
      <c r="A327" s="34" t="s">
        <v>1218</v>
      </c>
      <c r="B327" s="391">
        <v>903</v>
      </c>
      <c r="C327" s="395" t="s">
        <v>264</v>
      </c>
      <c r="D327" s="395" t="s">
        <v>215</v>
      </c>
      <c r="E327" s="395" t="s">
        <v>324</v>
      </c>
      <c r="F327" s="395"/>
      <c r="G327" s="393">
        <f>G329</f>
        <v>6</v>
      </c>
      <c r="H327" s="393">
        <f>H329</f>
        <v>0</v>
      </c>
      <c r="I327" s="192"/>
    </row>
    <row r="328" spans="1:9" ht="63" x14ac:dyDescent="0.25">
      <c r="A328" s="34" t="s">
        <v>1024</v>
      </c>
      <c r="B328" s="391">
        <v>903</v>
      </c>
      <c r="C328" s="395" t="s">
        <v>264</v>
      </c>
      <c r="D328" s="395" t="s">
        <v>215</v>
      </c>
      <c r="E328" s="395" t="s">
        <v>933</v>
      </c>
      <c r="F328" s="395"/>
      <c r="G328" s="393">
        <f>G331</f>
        <v>6</v>
      </c>
      <c r="H328" s="393">
        <f>H331</f>
        <v>0</v>
      </c>
      <c r="I328" s="192"/>
    </row>
    <row r="329" spans="1:9" ht="47.25" x14ac:dyDescent="0.25">
      <c r="A329" s="31" t="s">
        <v>1081</v>
      </c>
      <c r="B329" s="390">
        <v>903</v>
      </c>
      <c r="C329" s="392" t="s">
        <v>264</v>
      </c>
      <c r="D329" s="392" t="s">
        <v>215</v>
      </c>
      <c r="E329" s="392" t="s">
        <v>1025</v>
      </c>
      <c r="F329" s="392"/>
      <c r="G329" s="397">
        <f>G330</f>
        <v>6</v>
      </c>
      <c r="H329" s="397">
        <f>H330</f>
        <v>0</v>
      </c>
      <c r="I329" s="192"/>
    </row>
    <row r="330" spans="1:9" ht="31.5" x14ac:dyDescent="0.25">
      <c r="A330" s="396" t="s">
        <v>131</v>
      </c>
      <c r="B330" s="390">
        <v>903</v>
      </c>
      <c r="C330" s="392" t="s">
        <v>264</v>
      </c>
      <c r="D330" s="392" t="s">
        <v>215</v>
      </c>
      <c r="E330" s="392" t="s">
        <v>1025</v>
      </c>
      <c r="F330" s="392" t="s">
        <v>132</v>
      </c>
      <c r="G330" s="397">
        <f>G331</f>
        <v>6</v>
      </c>
      <c r="H330" s="397">
        <f>H331</f>
        <v>0</v>
      </c>
      <c r="I330" s="192"/>
    </row>
    <row r="331" spans="1:9" ht="31.5" x14ac:dyDescent="0.25">
      <c r="A331" s="396" t="s">
        <v>133</v>
      </c>
      <c r="B331" s="390">
        <v>903</v>
      </c>
      <c r="C331" s="392" t="s">
        <v>264</v>
      </c>
      <c r="D331" s="392" t="s">
        <v>215</v>
      </c>
      <c r="E331" s="392" t="s">
        <v>1025</v>
      </c>
      <c r="F331" s="392" t="s">
        <v>134</v>
      </c>
      <c r="G331" s="397">
        <v>6</v>
      </c>
      <c r="H331" s="397">
        <v>0</v>
      </c>
      <c r="I331" s="192"/>
    </row>
    <row r="332" spans="1:9" ht="47.25" x14ac:dyDescent="0.25">
      <c r="A332" s="400" t="s">
        <v>1351</v>
      </c>
      <c r="B332" s="391">
        <v>903</v>
      </c>
      <c r="C332" s="395" t="s">
        <v>264</v>
      </c>
      <c r="D332" s="395" t="s">
        <v>215</v>
      </c>
      <c r="E332" s="395" t="s">
        <v>705</v>
      </c>
      <c r="F332" s="395"/>
      <c r="G332" s="393">
        <f>G334</f>
        <v>490.2</v>
      </c>
      <c r="H332" s="393">
        <f>H334</f>
        <v>509.8</v>
      </c>
      <c r="I332" s="192"/>
    </row>
    <row r="333" spans="1:9" ht="47.25" x14ac:dyDescent="0.25">
      <c r="A333" s="400" t="s">
        <v>889</v>
      </c>
      <c r="B333" s="391">
        <v>903</v>
      </c>
      <c r="C333" s="395" t="s">
        <v>264</v>
      </c>
      <c r="D333" s="395" t="s">
        <v>215</v>
      </c>
      <c r="E333" s="395" t="s">
        <v>887</v>
      </c>
      <c r="F333" s="395"/>
      <c r="G333" s="393">
        <f t="shared" ref="G333:H335" si="26">G334</f>
        <v>490.2</v>
      </c>
      <c r="H333" s="393">
        <f t="shared" si="26"/>
        <v>509.8</v>
      </c>
      <c r="I333" s="192"/>
    </row>
    <row r="334" spans="1:9" ht="47.25" x14ac:dyDescent="0.25">
      <c r="A334" s="98" t="s">
        <v>1003</v>
      </c>
      <c r="B334" s="392" t="s">
        <v>627</v>
      </c>
      <c r="C334" s="392" t="s">
        <v>264</v>
      </c>
      <c r="D334" s="392" t="s">
        <v>215</v>
      </c>
      <c r="E334" s="392" t="s">
        <v>888</v>
      </c>
      <c r="F334" s="398"/>
      <c r="G334" s="397">
        <f t="shared" si="26"/>
        <v>490.2</v>
      </c>
      <c r="H334" s="397">
        <f t="shared" si="26"/>
        <v>509.8</v>
      </c>
      <c r="I334" s="192"/>
    </row>
    <row r="335" spans="1:9" ht="31.5" x14ac:dyDescent="0.25">
      <c r="A335" s="396" t="s">
        <v>131</v>
      </c>
      <c r="B335" s="390">
        <v>903</v>
      </c>
      <c r="C335" s="392" t="s">
        <v>264</v>
      </c>
      <c r="D335" s="392" t="s">
        <v>215</v>
      </c>
      <c r="E335" s="392" t="s">
        <v>888</v>
      </c>
      <c r="F335" s="398" t="s">
        <v>132</v>
      </c>
      <c r="G335" s="397">
        <f t="shared" si="26"/>
        <v>490.2</v>
      </c>
      <c r="H335" s="397">
        <f t="shared" si="26"/>
        <v>509.8</v>
      </c>
      <c r="I335" s="192"/>
    </row>
    <row r="336" spans="1:9" ht="31.5" x14ac:dyDescent="0.25">
      <c r="A336" s="396" t="s">
        <v>133</v>
      </c>
      <c r="B336" s="390">
        <v>903</v>
      </c>
      <c r="C336" s="392" t="s">
        <v>264</v>
      </c>
      <c r="D336" s="392" t="s">
        <v>215</v>
      </c>
      <c r="E336" s="392" t="s">
        <v>888</v>
      </c>
      <c r="F336" s="398" t="s">
        <v>134</v>
      </c>
      <c r="G336" s="397">
        <v>490.2</v>
      </c>
      <c r="H336" s="397">
        <v>509.8</v>
      </c>
      <c r="I336" s="192"/>
    </row>
    <row r="337" spans="1:9" ht="15.75" x14ac:dyDescent="0.25">
      <c r="A337" s="394" t="s">
        <v>466</v>
      </c>
      <c r="B337" s="391">
        <v>903</v>
      </c>
      <c r="C337" s="395" t="s">
        <v>264</v>
      </c>
      <c r="D337" s="395" t="s">
        <v>264</v>
      </c>
      <c r="E337" s="392"/>
      <c r="F337" s="392"/>
      <c r="G337" s="393">
        <f>G338</f>
        <v>760</v>
      </c>
      <c r="H337" s="393">
        <f>H338</f>
        <v>825</v>
      </c>
      <c r="I337" s="192"/>
    </row>
    <row r="338" spans="1:9" ht="47.25" x14ac:dyDescent="0.25">
      <c r="A338" s="394" t="s">
        <v>1365</v>
      </c>
      <c r="B338" s="391">
        <v>903</v>
      </c>
      <c r="C338" s="395" t="s">
        <v>264</v>
      </c>
      <c r="D338" s="395" t="s">
        <v>264</v>
      </c>
      <c r="E338" s="395" t="s">
        <v>344</v>
      </c>
      <c r="F338" s="395"/>
      <c r="G338" s="393">
        <f>G339</f>
        <v>760</v>
      </c>
      <c r="H338" s="393">
        <f>H339</f>
        <v>825</v>
      </c>
      <c r="I338" s="192"/>
    </row>
    <row r="339" spans="1:9" ht="31.5" x14ac:dyDescent="0.25">
      <c r="A339" s="394" t="s">
        <v>345</v>
      </c>
      <c r="B339" s="391">
        <v>903</v>
      </c>
      <c r="C339" s="395" t="s">
        <v>264</v>
      </c>
      <c r="D339" s="395" t="s">
        <v>264</v>
      </c>
      <c r="E339" s="395" t="s">
        <v>346</v>
      </c>
      <c r="F339" s="395"/>
      <c r="G339" s="393">
        <f>G340+G347+G353</f>
        <v>760</v>
      </c>
      <c r="H339" s="393">
        <f>H340+H347+H353</f>
        <v>825</v>
      </c>
      <c r="I339" s="192"/>
    </row>
    <row r="340" spans="1:9" ht="47.25" x14ac:dyDescent="0.25">
      <c r="A340" s="195" t="s">
        <v>1029</v>
      </c>
      <c r="B340" s="391">
        <v>903</v>
      </c>
      <c r="C340" s="395" t="s">
        <v>264</v>
      </c>
      <c r="D340" s="395" t="s">
        <v>264</v>
      </c>
      <c r="E340" s="395" t="s">
        <v>891</v>
      </c>
      <c r="F340" s="395"/>
      <c r="G340" s="393">
        <f>G341+G344</f>
        <v>280</v>
      </c>
      <c r="H340" s="393">
        <f>H341+H344</f>
        <v>280</v>
      </c>
      <c r="I340" s="192"/>
    </row>
    <row r="341" spans="1:9" ht="31.5" x14ac:dyDescent="0.25">
      <c r="A341" s="98" t="s">
        <v>1035</v>
      </c>
      <c r="B341" s="390">
        <v>903</v>
      </c>
      <c r="C341" s="392" t="s">
        <v>264</v>
      </c>
      <c r="D341" s="392" t="s">
        <v>264</v>
      </c>
      <c r="E341" s="392" t="s">
        <v>892</v>
      </c>
      <c r="F341" s="392"/>
      <c r="G341" s="397">
        <f>G342</f>
        <v>280</v>
      </c>
      <c r="H341" s="397">
        <f>H342</f>
        <v>280</v>
      </c>
      <c r="I341" s="192"/>
    </row>
    <row r="342" spans="1:9" ht="78.75" x14ac:dyDescent="0.25">
      <c r="A342" s="396" t="s">
        <v>127</v>
      </c>
      <c r="B342" s="390">
        <v>903</v>
      </c>
      <c r="C342" s="392" t="s">
        <v>264</v>
      </c>
      <c r="D342" s="392" t="s">
        <v>264</v>
      </c>
      <c r="E342" s="392" t="s">
        <v>892</v>
      </c>
      <c r="F342" s="392" t="s">
        <v>128</v>
      </c>
      <c r="G342" s="397">
        <f>G343</f>
        <v>280</v>
      </c>
      <c r="H342" s="397">
        <f>H343</f>
        <v>280</v>
      </c>
      <c r="I342" s="192"/>
    </row>
    <row r="343" spans="1:9" ht="31.5" x14ac:dyDescent="0.25">
      <c r="A343" s="396" t="s">
        <v>342</v>
      </c>
      <c r="B343" s="390">
        <v>903</v>
      </c>
      <c r="C343" s="392" t="s">
        <v>264</v>
      </c>
      <c r="D343" s="392" t="s">
        <v>264</v>
      </c>
      <c r="E343" s="392" t="s">
        <v>892</v>
      </c>
      <c r="F343" s="392" t="s">
        <v>209</v>
      </c>
      <c r="G343" s="397">
        <f>280</f>
        <v>280</v>
      </c>
      <c r="H343" s="397">
        <f t="shared" si="22"/>
        <v>280</v>
      </c>
      <c r="I343" s="192"/>
    </row>
    <row r="344" spans="1:9" ht="31.5" hidden="1" x14ac:dyDescent="0.25">
      <c r="A344" s="396" t="s">
        <v>1030</v>
      </c>
      <c r="B344" s="390">
        <v>903</v>
      </c>
      <c r="C344" s="392" t="s">
        <v>264</v>
      </c>
      <c r="D344" s="392" t="s">
        <v>264</v>
      </c>
      <c r="E344" s="392" t="s">
        <v>1047</v>
      </c>
      <c r="F344" s="392"/>
      <c r="G344" s="397">
        <f>'[1]Пр.5 ведом.21'!G332</f>
        <v>0</v>
      </c>
      <c r="H344" s="397">
        <f t="shared" si="22"/>
        <v>0</v>
      </c>
      <c r="I344" s="192"/>
    </row>
    <row r="345" spans="1:9" ht="31.5" hidden="1" x14ac:dyDescent="0.25">
      <c r="A345" s="396" t="s">
        <v>131</v>
      </c>
      <c r="B345" s="390">
        <v>903</v>
      </c>
      <c r="C345" s="392" t="s">
        <v>264</v>
      </c>
      <c r="D345" s="392" t="s">
        <v>264</v>
      </c>
      <c r="E345" s="392" t="s">
        <v>1047</v>
      </c>
      <c r="F345" s="392" t="s">
        <v>132</v>
      </c>
      <c r="G345" s="397">
        <f>'[1]Пр.5 ведом.21'!G333</f>
        <v>0</v>
      </c>
      <c r="H345" s="397">
        <f t="shared" si="22"/>
        <v>0</v>
      </c>
      <c r="I345" s="192"/>
    </row>
    <row r="346" spans="1:9" ht="31.5" hidden="1" x14ac:dyDescent="0.25">
      <c r="A346" s="396" t="s">
        <v>133</v>
      </c>
      <c r="B346" s="390">
        <v>903</v>
      </c>
      <c r="C346" s="392" t="s">
        <v>264</v>
      </c>
      <c r="D346" s="392" t="s">
        <v>264</v>
      </c>
      <c r="E346" s="392" t="s">
        <v>1047</v>
      </c>
      <c r="F346" s="392" t="s">
        <v>134</v>
      </c>
      <c r="G346" s="397">
        <f>'[1]Пр.5 ведом.21'!G334</f>
        <v>0</v>
      </c>
      <c r="H346" s="397">
        <f t="shared" si="22"/>
        <v>0</v>
      </c>
      <c r="I346" s="192"/>
    </row>
    <row r="347" spans="1:9" ht="63" x14ac:dyDescent="0.25">
      <c r="A347" s="394" t="s">
        <v>1031</v>
      </c>
      <c r="B347" s="391">
        <v>903</v>
      </c>
      <c r="C347" s="395" t="s">
        <v>264</v>
      </c>
      <c r="D347" s="395" t="s">
        <v>264</v>
      </c>
      <c r="E347" s="395" t="s">
        <v>893</v>
      </c>
      <c r="F347" s="395"/>
      <c r="G347" s="393">
        <f>G348</f>
        <v>455</v>
      </c>
      <c r="H347" s="393">
        <f>H348</f>
        <v>520</v>
      </c>
      <c r="I347" s="192"/>
    </row>
    <row r="348" spans="1:9" ht="15.75" x14ac:dyDescent="0.25">
      <c r="A348" s="396" t="s">
        <v>1032</v>
      </c>
      <c r="B348" s="390">
        <v>903</v>
      </c>
      <c r="C348" s="392" t="s">
        <v>264</v>
      </c>
      <c r="D348" s="392" t="s">
        <v>264</v>
      </c>
      <c r="E348" s="392" t="s">
        <v>900</v>
      </c>
      <c r="F348" s="392"/>
      <c r="G348" s="397">
        <f>G349+G351</f>
        <v>455</v>
      </c>
      <c r="H348" s="397">
        <f>H349+H351</f>
        <v>520</v>
      </c>
      <c r="I348" s="192"/>
    </row>
    <row r="349" spans="1:9" ht="78.75" x14ac:dyDescent="0.25">
      <c r="A349" s="396" t="s">
        <v>127</v>
      </c>
      <c r="B349" s="390">
        <v>903</v>
      </c>
      <c r="C349" s="392" t="s">
        <v>264</v>
      </c>
      <c r="D349" s="392" t="s">
        <v>264</v>
      </c>
      <c r="E349" s="392" t="s">
        <v>900</v>
      </c>
      <c r="F349" s="392" t="s">
        <v>128</v>
      </c>
      <c r="G349" s="397">
        <f>G350</f>
        <v>40</v>
      </c>
      <c r="H349" s="397">
        <f>H350</f>
        <v>40</v>
      </c>
      <c r="I349" s="192"/>
    </row>
    <row r="350" spans="1:9" ht="31.5" x14ac:dyDescent="0.25">
      <c r="A350" s="396" t="s">
        <v>342</v>
      </c>
      <c r="B350" s="390">
        <v>903</v>
      </c>
      <c r="C350" s="392" t="s">
        <v>264</v>
      </c>
      <c r="D350" s="392" t="s">
        <v>264</v>
      </c>
      <c r="E350" s="392" t="s">
        <v>900</v>
      </c>
      <c r="F350" s="392" t="s">
        <v>209</v>
      </c>
      <c r="G350" s="397">
        <f>40</f>
        <v>40</v>
      </c>
      <c r="H350" s="397">
        <f t="shared" si="22"/>
        <v>40</v>
      </c>
      <c r="I350" s="192"/>
    </row>
    <row r="351" spans="1:9" ht="31.5" x14ac:dyDescent="0.25">
      <c r="A351" s="396" t="s">
        <v>131</v>
      </c>
      <c r="B351" s="390">
        <v>903</v>
      </c>
      <c r="C351" s="392" t="s">
        <v>264</v>
      </c>
      <c r="D351" s="392" t="s">
        <v>264</v>
      </c>
      <c r="E351" s="392" t="s">
        <v>900</v>
      </c>
      <c r="F351" s="392" t="s">
        <v>132</v>
      </c>
      <c r="G351" s="397">
        <f>G352</f>
        <v>415</v>
      </c>
      <c r="H351" s="397">
        <f>H352</f>
        <v>480</v>
      </c>
      <c r="I351" s="192"/>
    </row>
    <row r="352" spans="1:9" ht="31.5" x14ac:dyDescent="0.25">
      <c r="A352" s="396" t="s">
        <v>133</v>
      </c>
      <c r="B352" s="390">
        <v>903</v>
      </c>
      <c r="C352" s="392" t="s">
        <v>264</v>
      </c>
      <c r="D352" s="392" t="s">
        <v>264</v>
      </c>
      <c r="E352" s="392" t="s">
        <v>900</v>
      </c>
      <c r="F352" s="392" t="s">
        <v>134</v>
      </c>
      <c r="G352" s="397">
        <f>415</f>
        <v>415</v>
      </c>
      <c r="H352" s="397">
        <v>480</v>
      </c>
      <c r="I352" s="192"/>
    </row>
    <row r="353" spans="1:13" ht="31.5" x14ac:dyDescent="0.25">
      <c r="A353" s="394" t="s">
        <v>1037</v>
      </c>
      <c r="B353" s="391">
        <v>903</v>
      </c>
      <c r="C353" s="395" t="s">
        <v>264</v>
      </c>
      <c r="D353" s="395" t="s">
        <v>264</v>
      </c>
      <c r="E353" s="395" t="s">
        <v>1033</v>
      </c>
      <c r="F353" s="395"/>
      <c r="G353" s="393">
        <f t="shared" ref="G353:H355" si="27">G354</f>
        <v>25</v>
      </c>
      <c r="H353" s="393">
        <f t="shared" si="27"/>
        <v>25</v>
      </c>
      <c r="I353" s="192"/>
    </row>
    <row r="354" spans="1:13" ht="47.25" x14ac:dyDescent="0.25">
      <c r="A354" s="215" t="s">
        <v>1034</v>
      </c>
      <c r="B354" s="390">
        <v>903</v>
      </c>
      <c r="C354" s="392" t="s">
        <v>264</v>
      </c>
      <c r="D354" s="392" t="s">
        <v>264</v>
      </c>
      <c r="E354" s="392" t="s">
        <v>1048</v>
      </c>
      <c r="F354" s="392"/>
      <c r="G354" s="397">
        <f t="shared" si="27"/>
        <v>25</v>
      </c>
      <c r="H354" s="397">
        <f t="shared" si="27"/>
        <v>25</v>
      </c>
      <c r="I354" s="192"/>
    </row>
    <row r="355" spans="1:13" ht="31.5" x14ac:dyDescent="0.25">
      <c r="A355" s="396" t="s">
        <v>248</v>
      </c>
      <c r="B355" s="390">
        <v>903</v>
      </c>
      <c r="C355" s="392" t="s">
        <v>264</v>
      </c>
      <c r="D355" s="392" t="s">
        <v>264</v>
      </c>
      <c r="E355" s="392" t="s">
        <v>1048</v>
      </c>
      <c r="F355" s="392" t="s">
        <v>249</v>
      </c>
      <c r="G355" s="397">
        <f t="shared" si="27"/>
        <v>25</v>
      </c>
      <c r="H355" s="397">
        <f t="shared" si="27"/>
        <v>25</v>
      </c>
      <c r="I355" s="192"/>
    </row>
    <row r="356" spans="1:13" ht="31.5" x14ac:dyDescent="0.25">
      <c r="A356" s="396" t="s">
        <v>1194</v>
      </c>
      <c r="B356" s="390">
        <v>903</v>
      </c>
      <c r="C356" s="392" t="s">
        <v>264</v>
      </c>
      <c r="D356" s="392" t="s">
        <v>264</v>
      </c>
      <c r="E356" s="392" t="s">
        <v>1048</v>
      </c>
      <c r="F356" s="392" t="s">
        <v>1193</v>
      </c>
      <c r="G356" s="397">
        <f>25</f>
        <v>25</v>
      </c>
      <c r="H356" s="397">
        <f t="shared" si="22"/>
        <v>25</v>
      </c>
      <c r="I356" s="192"/>
    </row>
    <row r="357" spans="1:13" ht="15.75" x14ac:dyDescent="0.25">
      <c r="A357" s="394" t="s">
        <v>298</v>
      </c>
      <c r="B357" s="391">
        <v>903</v>
      </c>
      <c r="C357" s="395" t="s">
        <v>299</v>
      </c>
      <c r="D357" s="395"/>
      <c r="E357" s="395"/>
      <c r="F357" s="395"/>
      <c r="G357" s="393">
        <f>G358+G411</f>
        <v>76411.28</v>
      </c>
      <c r="H357" s="393">
        <f>H358+H411</f>
        <v>77665.48</v>
      </c>
      <c r="I357" s="192"/>
    </row>
    <row r="358" spans="1:13" ht="15.75" x14ac:dyDescent="0.25">
      <c r="A358" s="394" t="s">
        <v>300</v>
      </c>
      <c r="B358" s="391">
        <v>903</v>
      </c>
      <c r="C358" s="395" t="s">
        <v>299</v>
      </c>
      <c r="D358" s="395" t="s">
        <v>118</v>
      </c>
      <c r="E358" s="395"/>
      <c r="F358" s="395"/>
      <c r="G358" s="393">
        <f>G359+G406+G401</f>
        <v>57844.87999999999</v>
      </c>
      <c r="H358" s="393">
        <f>H359+H406+H401</f>
        <v>59070.079999999994</v>
      </c>
      <c r="I358" s="192"/>
    </row>
    <row r="359" spans="1:13" ht="39.200000000000003" customHeight="1" x14ac:dyDescent="0.25">
      <c r="A359" s="394" t="s">
        <v>1366</v>
      </c>
      <c r="B359" s="391">
        <v>903</v>
      </c>
      <c r="C359" s="395" t="s">
        <v>299</v>
      </c>
      <c r="D359" s="395" t="s">
        <v>118</v>
      </c>
      <c r="E359" s="395" t="s">
        <v>267</v>
      </c>
      <c r="F359" s="395"/>
      <c r="G359" s="393">
        <f>G360+G368+G374+G378+G385+G393+G389+G397</f>
        <v>56956.179999999993</v>
      </c>
      <c r="H359" s="393">
        <f>H360+H368+H374+H378+H385+H393+H389+H397</f>
        <v>58156.179999999993</v>
      </c>
      <c r="I359" s="192"/>
    </row>
    <row r="360" spans="1:13" ht="33.75" customHeight="1" x14ac:dyDescent="0.25">
      <c r="A360" s="394" t="s">
        <v>894</v>
      </c>
      <c r="B360" s="391">
        <v>903</v>
      </c>
      <c r="C360" s="395" t="s">
        <v>299</v>
      </c>
      <c r="D360" s="395" t="s">
        <v>118</v>
      </c>
      <c r="E360" s="395" t="s">
        <v>1201</v>
      </c>
      <c r="F360" s="395"/>
      <c r="G360" s="393">
        <f>G361</f>
        <v>51840.479999999996</v>
      </c>
      <c r="H360" s="393">
        <f>H361</f>
        <v>51840.479999999996</v>
      </c>
      <c r="I360" s="192"/>
    </row>
    <row r="361" spans="1:13" ht="15.75" x14ac:dyDescent="0.25">
      <c r="A361" s="396" t="s">
        <v>800</v>
      </c>
      <c r="B361" s="390">
        <v>903</v>
      </c>
      <c r="C361" s="392" t="s">
        <v>299</v>
      </c>
      <c r="D361" s="392" t="s">
        <v>118</v>
      </c>
      <c r="E361" s="392" t="s">
        <v>1202</v>
      </c>
      <c r="F361" s="392"/>
      <c r="G361" s="397">
        <f>G362+G364+G366</f>
        <v>51840.479999999996</v>
      </c>
      <c r="H361" s="397">
        <f>H362+H364+H366</f>
        <v>51840.479999999996</v>
      </c>
      <c r="I361" s="192"/>
      <c r="M361" s="387">
        <v>51840.58</v>
      </c>
    </row>
    <row r="362" spans="1:13" ht="78.75" x14ac:dyDescent="0.25">
      <c r="A362" s="396" t="s">
        <v>127</v>
      </c>
      <c r="B362" s="390">
        <v>903</v>
      </c>
      <c r="C362" s="392" t="s">
        <v>299</v>
      </c>
      <c r="D362" s="392" t="s">
        <v>118</v>
      </c>
      <c r="E362" s="392" t="s">
        <v>1202</v>
      </c>
      <c r="F362" s="392" t="s">
        <v>128</v>
      </c>
      <c r="G362" s="397">
        <f>G363</f>
        <v>43271.28</v>
      </c>
      <c r="H362" s="397">
        <f>H363</f>
        <v>43271.28</v>
      </c>
      <c r="I362" s="192"/>
    </row>
    <row r="363" spans="1:13" ht="15.75" x14ac:dyDescent="0.25">
      <c r="A363" s="396" t="s">
        <v>208</v>
      </c>
      <c r="B363" s="390">
        <v>903</v>
      </c>
      <c r="C363" s="392" t="s">
        <v>299</v>
      </c>
      <c r="D363" s="392" t="s">
        <v>118</v>
      </c>
      <c r="E363" s="392" t="s">
        <v>1202</v>
      </c>
      <c r="F363" s="392" t="s">
        <v>209</v>
      </c>
      <c r="G363" s="397">
        <v>43271.28</v>
      </c>
      <c r="H363" s="397">
        <f t="shared" si="22"/>
        <v>43271.28</v>
      </c>
      <c r="I363" s="192"/>
    </row>
    <row r="364" spans="1:13" ht="31.5" x14ac:dyDescent="0.25">
      <c r="A364" s="396" t="s">
        <v>131</v>
      </c>
      <c r="B364" s="390">
        <v>903</v>
      </c>
      <c r="C364" s="392" t="s">
        <v>299</v>
      </c>
      <c r="D364" s="392" t="s">
        <v>118</v>
      </c>
      <c r="E364" s="392" t="s">
        <v>1202</v>
      </c>
      <c r="F364" s="392" t="s">
        <v>132</v>
      </c>
      <c r="G364" s="397">
        <f>G365</f>
        <v>8506.2000000000007</v>
      </c>
      <c r="H364" s="397">
        <f>H365</f>
        <v>8506.2000000000007</v>
      </c>
      <c r="I364" s="192"/>
    </row>
    <row r="365" spans="1:13" ht="29.85" customHeight="1" x14ac:dyDescent="0.25">
      <c r="A365" s="396" t="s">
        <v>133</v>
      </c>
      <c r="B365" s="390">
        <v>903</v>
      </c>
      <c r="C365" s="392" t="s">
        <v>299</v>
      </c>
      <c r="D365" s="392" t="s">
        <v>118</v>
      </c>
      <c r="E365" s="392" t="s">
        <v>1202</v>
      </c>
      <c r="F365" s="392" t="s">
        <v>134</v>
      </c>
      <c r="G365" s="397">
        <v>8506.2000000000007</v>
      </c>
      <c r="H365" s="397">
        <f t="shared" si="22"/>
        <v>8506.2000000000007</v>
      </c>
      <c r="I365" s="192"/>
    </row>
    <row r="366" spans="1:13" ht="15.75" x14ac:dyDescent="0.25">
      <c r="A366" s="396" t="s">
        <v>135</v>
      </c>
      <c r="B366" s="390">
        <v>903</v>
      </c>
      <c r="C366" s="392" t="s">
        <v>299</v>
      </c>
      <c r="D366" s="392" t="s">
        <v>118</v>
      </c>
      <c r="E366" s="392" t="s">
        <v>1202</v>
      </c>
      <c r="F366" s="392" t="s">
        <v>145</v>
      </c>
      <c r="G366" s="397">
        <f>G367</f>
        <v>63</v>
      </c>
      <c r="H366" s="397">
        <f>H367</f>
        <v>63</v>
      </c>
      <c r="I366" s="192"/>
    </row>
    <row r="367" spans="1:13" ht="15.75" x14ac:dyDescent="0.25">
      <c r="A367" s="396" t="s">
        <v>568</v>
      </c>
      <c r="B367" s="390">
        <v>903</v>
      </c>
      <c r="C367" s="392" t="s">
        <v>299</v>
      </c>
      <c r="D367" s="392" t="s">
        <v>118</v>
      </c>
      <c r="E367" s="392" t="s">
        <v>1202</v>
      </c>
      <c r="F367" s="392" t="s">
        <v>138</v>
      </c>
      <c r="G367" s="397">
        <v>63</v>
      </c>
      <c r="H367" s="397">
        <f t="shared" ref="H367:H377" si="28">G367</f>
        <v>63</v>
      </c>
      <c r="I367" s="192"/>
    </row>
    <row r="368" spans="1:13" ht="31.5" x14ac:dyDescent="0.25">
      <c r="A368" s="201" t="s">
        <v>1301</v>
      </c>
      <c r="B368" s="391">
        <v>903</v>
      </c>
      <c r="C368" s="395" t="s">
        <v>299</v>
      </c>
      <c r="D368" s="395" t="s">
        <v>118</v>
      </c>
      <c r="E368" s="395" t="s">
        <v>1203</v>
      </c>
      <c r="F368" s="395"/>
      <c r="G368" s="393">
        <f>G369</f>
        <v>1380</v>
      </c>
      <c r="H368" s="393">
        <f>H369</f>
        <v>1380</v>
      </c>
      <c r="I368" s="192"/>
    </row>
    <row r="369" spans="1:9" ht="31.5" x14ac:dyDescent="0.25">
      <c r="A369" s="31" t="s">
        <v>815</v>
      </c>
      <c r="B369" s="390">
        <v>903</v>
      </c>
      <c r="C369" s="392" t="s">
        <v>299</v>
      </c>
      <c r="D369" s="392" t="s">
        <v>118</v>
      </c>
      <c r="E369" s="392" t="s">
        <v>1205</v>
      </c>
      <c r="F369" s="392"/>
      <c r="G369" s="397">
        <f>G370+G372</f>
        <v>1380</v>
      </c>
      <c r="H369" s="397">
        <f>H370+H372</f>
        <v>1380</v>
      </c>
      <c r="I369" s="192"/>
    </row>
    <row r="370" spans="1:9" ht="78.75" x14ac:dyDescent="0.25">
      <c r="A370" s="396" t="s">
        <v>127</v>
      </c>
      <c r="B370" s="390">
        <v>903</v>
      </c>
      <c r="C370" s="392" t="s">
        <v>299</v>
      </c>
      <c r="D370" s="392" t="s">
        <v>118</v>
      </c>
      <c r="E370" s="392" t="s">
        <v>895</v>
      </c>
      <c r="F370" s="392" t="s">
        <v>128</v>
      </c>
      <c r="G370" s="397">
        <f>G371</f>
        <v>0</v>
      </c>
      <c r="H370" s="397">
        <f>H371</f>
        <v>0</v>
      </c>
      <c r="I370" s="192"/>
    </row>
    <row r="371" spans="1:9" ht="15.75" x14ac:dyDescent="0.25">
      <c r="A371" s="396" t="s">
        <v>208</v>
      </c>
      <c r="B371" s="390">
        <v>903</v>
      </c>
      <c r="C371" s="392" t="s">
        <v>299</v>
      </c>
      <c r="D371" s="392" t="s">
        <v>118</v>
      </c>
      <c r="E371" s="392" t="s">
        <v>895</v>
      </c>
      <c r="F371" s="392" t="s">
        <v>209</v>
      </c>
      <c r="G371" s="397">
        <v>0</v>
      </c>
      <c r="H371" s="397">
        <v>0</v>
      </c>
      <c r="I371" s="192"/>
    </row>
    <row r="372" spans="1:9" ht="31.5" x14ac:dyDescent="0.25">
      <c r="A372" s="396" t="s">
        <v>131</v>
      </c>
      <c r="B372" s="390">
        <v>903</v>
      </c>
      <c r="C372" s="392" t="s">
        <v>299</v>
      </c>
      <c r="D372" s="392" t="s">
        <v>118</v>
      </c>
      <c r="E372" s="392" t="s">
        <v>1205</v>
      </c>
      <c r="F372" s="392" t="s">
        <v>132</v>
      </c>
      <c r="G372" s="397">
        <f>G373</f>
        <v>1380</v>
      </c>
      <c r="H372" s="397">
        <f>H373</f>
        <v>1380</v>
      </c>
      <c r="I372" s="192"/>
    </row>
    <row r="373" spans="1:9" ht="31.9" customHeight="1" x14ac:dyDescent="0.25">
      <c r="A373" s="396" t="s">
        <v>133</v>
      </c>
      <c r="B373" s="390">
        <v>903</v>
      </c>
      <c r="C373" s="392" t="s">
        <v>299</v>
      </c>
      <c r="D373" s="392" t="s">
        <v>118</v>
      </c>
      <c r="E373" s="392" t="s">
        <v>1205</v>
      </c>
      <c r="F373" s="392" t="s">
        <v>134</v>
      </c>
      <c r="G373" s="397">
        <f>380+1000</f>
        <v>1380</v>
      </c>
      <c r="H373" s="397">
        <f t="shared" si="28"/>
        <v>1380</v>
      </c>
      <c r="I373" s="192"/>
    </row>
    <row r="374" spans="1:9" ht="31.5" x14ac:dyDescent="0.25">
      <c r="A374" s="394" t="s">
        <v>946</v>
      </c>
      <c r="B374" s="391">
        <v>903</v>
      </c>
      <c r="C374" s="395" t="s">
        <v>299</v>
      </c>
      <c r="D374" s="395" t="s">
        <v>118</v>
      </c>
      <c r="E374" s="395" t="s">
        <v>1206</v>
      </c>
      <c r="F374" s="395"/>
      <c r="G374" s="44">
        <f t="shared" ref="G374:H376" si="29">G375</f>
        <v>875</v>
      </c>
      <c r="H374" s="44">
        <f t="shared" si="29"/>
        <v>875</v>
      </c>
      <c r="I374" s="192"/>
    </row>
    <row r="375" spans="1:9" ht="47.25" x14ac:dyDescent="0.25">
      <c r="A375" s="396" t="s">
        <v>838</v>
      </c>
      <c r="B375" s="390">
        <v>903</v>
      </c>
      <c r="C375" s="392" t="s">
        <v>299</v>
      </c>
      <c r="D375" s="392" t="s">
        <v>118</v>
      </c>
      <c r="E375" s="392" t="s">
        <v>1207</v>
      </c>
      <c r="F375" s="392"/>
      <c r="G375" s="397">
        <f t="shared" si="29"/>
        <v>875</v>
      </c>
      <c r="H375" s="397">
        <f t="shared" si="29"/>
        <v>875</v>
      </c>
      <c r="I375" s="192"/>
    </row>
    <row r="376" spans="1:9" ht="78.75" x14ac:dyDescent="0.25">
      <c r="A376" s="396" t="s">
        <v>127</v>
      </c>
      <c r="B376" s="390">
        <v>903</v>
      </c>
      <c r="C376" s="392" t="s">
        <v>299</v>
      </c>
      <c r="D376" s="392" t="s">
        <v>118</v>
      </c>
      <c r="E376" s="392" t="s">
        <v>1207</v>
      </c>
      <c r="F376" s="392" t="s">
        <v>128</v>
      </c>
      <c r="G376" s="397">
        <f t="shared" si="29"/>
        <v>875</v>
      </c>
      <c r="H376" s="397">
        <f t="shared" si="29"/>
        <v>875</v>
      </c>
      <c r="I376" s="192"/>
    </row>
    <row r="377" spans="1:9" ht="31.5" x14ac:dyDescent="0.25">
      <c r="A377" s="396" t="s">
        <v>129</v>
      </c>
      <c r="B377" s="390">
        <v>903</v>
      </c>
      <c r="C377" s="392" t="s">
        <v>299</v>
      </c>
      <c r="D377" s="392" t="s">
        <v>118</v>
      </c>
      <c r="E377" s="392" t="s">
        <v>1207</v>
      </c>
      <c r="F377" s="392" t="s">
        <v>209</v>
      </c>
      <c r="G377" s="397">
        <v>875</v>
      </c>
      <c r="H377" s="397">
        <f t="shared" si="28"/>
        <v>875</v>
      </c>
      <c r="I377" s="192"/>
    </row>
    <row r="378" spans="1:9" ht="47.25" x14ac:dyDescent="0.25">
      <c r="A378" s="202" t="s">
        <v>899</v>
      </c>
      <c r="B378" s="391">
        <v>903</v>
      </c>
      <c r="C378" s="395" t="s">
        <v>299</v>
      </c>
      <c r="D378" s="395" t="s">
        <v>118</v>
      </c>
      <c r="E378" s="395" t="s">
        <v>1208</v>
      </c>
      <c r="F378" s="395"/>
      <c r="G378" s="393">
        <f>G379+G382</f>
        <v>2442</v>
      </c>
      <c r="H378" s="393">
        <f>H379+H382</f>
        <v>2442</v>
      </c>
      <c r="I378" s="192"/>
    </row>
    <row r="379" spans="1:9" ht="94.5" x14ac:dyDescent="0.25">
      <c r="A379" s="31" t="s">
        <v>293</v>
      </c>
      <c r="B379" s="390">
        <v>903</v>
      </c>
      <c r="C379" s="392" t="s">
        <v>299</v>
      </c>
      <c r="D379" s="392" t="s">
        <v>118</v>
      </c>
      <c r="E379" s="392" t="s">
        <v>1402</v>
      </c>
      <c r="F379" s="392"/>
      <c r="G379" s="397">
        <f t="shared" ref="G379:H380" si="30">G380</f>
        <v>2100.6</v>
      </c>
      <c r="H379" s="397">
        <f t="shared" si="30"/>
        <v>2100.6</v>
      </c>
      <c r="I379" s="192"/>
    </row>
    <row r="380" spans="1:9" ht="78.75" x14ac:dyDescent="0.25">
      <c r="A380" s="396" t="s">
        <v>127</v>
      </c>
      <c r="B380" s="390">
        <v>903</v>
      </c>
      <c r="C380" s="392" t="s">
        <v>299</v>
      </c>
      <c r="D380" s="392" t="s">
        <v>118</v>
      </c>
      <c r="E380" s="392" t="s">
        <v>1402</v>
      </c>
      <c r="F380" s="392" t="s">
        <v>128</v>
      </c>
      <c r="G380" s="397">
        <f t="shared" si="30"/>
        <v>2100.6</v>
      </c>
      <c r="H380" s="397">
        <f t="shared" si="30"/>
        <v>2100.6</v>
      </c>
      <c r="I380" s="192"/>
    </row>
    <row r="381" spans="1:9" ht="15.75" x14ac:dyDescent="0.25">
      <c r="A381" s="396" t="s">
        <v>208</v>
      </c>
      <c r="B381" s="390">
        <v>903</v>
      </c>
      <c r="C381" s="392" t="s">
        <v>299</v>
      </c>
      <c r="D381" s="392" t="s">
        <v>118</v>
      </c>
      <c r="E381" s="392" t="s">
        <v>1402</v>
      </c>
      <c r="F381" s="392" t="s">
        <v>209</v>
      </c>
      <c r="G381" s="397">
        <v>2100.6</v>
      </c>
      <c r="H381" s="397">
        <f>G381</f>
        <v>2100.6</v>
      </c>
      <c r="I381" s="192"/>
    </row>
    <row r="382" spans="1:9" ht="78.75" x14ac:dyDescent="0.25">
      <c r="A382" s="396" t="s">
        <v>331</v>
      </c>
      <c r="B382" s="390">
        <v>903</v>
      </c>
      <c r="C382" s="392" t="s">
        <v>299</v>
      </c>
      <c r="D382" s="392" t="s">
        <v>118</v>
      </c>
      <c r="E382" s="392" t="s">
        <v>1289</v>
      </c>
      <c r="F382" s="392"/>
      <c r="G382" s="397">
        <f>G383</f>
        <v>341.4</v>
      </c>
      <c r="H382" s="397">
        <f>H383</f>
        <v>341.4</v>
      </c>
      <c r="I382" s="192"/>
    </row>
    <row r="383" spans="1:9" ht="78.75" x14ac:dyDescent="0.25">
      <c r="A383" s="396" t="s">
        <v>127</v>
      </c>
      <c r="B383" s="390">
        <v>903</v>
      </c>
      <c r="C383" s="392" t="s">
        <v>299</v>
      </c>
      <c r="D383" s="392" t="s">
        <v>118</v>
      </c>
      <c r="E383" s="392" t="s">
        <v>1289</v>
      </c>
      <c r="F383" s="392" t="s">
        <v>128</v>
      </c>
      <c r="G383" s="397">
        <f>G384</f>
        <v>341.4</v>
      </c>
      <c r="H383" s="397">
        <f>H384</f>
        <v>341.4</v>
      </c>
      <c r="I383" s="192"/>
    </row>
    <row r="384" spans="1:9" ht="15.75" x14ac:dyDescent="0.25">
      <c r="A384" s="396" t="s">
        <v>208</v>
      </c>
      <c r="B384" s="390">
        <v>903</v>
      </c>
      <c r="C384" s="392" t="s">
        <v>299</v>
      </c>
      <c r="D384" s="392" t="s">
        <v>118</v>
      </c>
      <c r="E384" s="392" t="s">
        <v>1289</v>
      </c>
      <c r="F384" s="392" t="s">
        <v>209</v>
      </c>
      <c r="G384" s="397">
        <v>341.4</v>
      </c>
      <c r="H384" s="397">
        <f>G384</f>
        <v>341.4</v>
      </c>
      <c r="I384" s="192"/>
    </row>
    <row r="385" spans="1:9" ht="31.5" x14ac:dyDescent="0.25">
      <c r="A385" s="394" t="s">
        <v>901</v>
      </c>
      <c r="B385" s="391">
        <v>903</v>
      </c>
      <c r="C385" s="395" t="s">
        <v>299</v>
      </c>
      <c r="D385" s="395" t="s">
        <v>118</v>
      </c>
      <c r="E385" s="395" t="s">
        <v>1213</v>
      </c>
      <c r="F385" s="395"/>
      <c r="G385" s="393">
        <f t="shared" ref="G385:H387" si="31">G386</f>
        <v>50</v>
      </c>
      <c r="H385" s="393">
        <f t="shared" si="31"/>
        <v>50</v>
      </c>
      <c r="I385" s="192"/>
    </row>
    <row r="386" spans="1:9" ht="31.5" x14ac:dyDescent="0.25">
      <c r="A386" s="396" t="s">
        <v>820</v>
      </c>
      <c r="B386" s="390">
        <v>903</v>
      </c>
      <c r="C386" s="392" t="s">
        <v>299</v>
      </c>
      <c r="D386" s="392" t="s">
        <v>118</v>
      </c>
      <c r="E386" s="392" t="s">
        <v>1214</v>
      </c>
      <c r="F386" s="392"/>
      <c r="G386" s="397">
        <f t="shared" si="31"/>
        <v>50</v>
      </c>
      <c r="H386" s="397">
        <f t="shared" si="31"/>
        <v>50</v>
      </c>
      <c r="I386" s="192"/>
    </row>
    <row r="387" spans="1:9" ht="31.5" x14ac:dyDescent="0.25">
      <c r="A387" s="396" t="s">
        <v>131</v>
      </c>
      <c r="B387" s="390">
        <v>903</v>
      </c>
      <c r="C387" s="392" t="s">
        <v>299</v>
      </c>
      <c r="D387" s="392" t="s">
        <v>118</v>
      </c>
      <c r="E387" s="392" t="s">
        <v>1214</v>
      </c>
      <c r="F387" s="392" t="s">
        <v>132</v>
      </c>
      <c r="G387" s="397">
        <f t="shared" si="31"/>
        <v>50</v>
      </c>
      <c r="H387" s="397">
        <f t="shared" si="31"/>
        <v>50</v>
      </c>
      <c r="I387" s="192"/>
    </row>
    <row r="388" spans="1:9" ht="31.5" x14ac:dyDescent="0.25">
      <c r="A388" s="396" t="s">
        <v>133</v>
      </c>
      <c r="B388" s="390">
        <v>903</v>
      </c>
      <c r="C388" s="392" t="s">
        <v>299</v>
      </c>
      <c r="D388" s="392" t="s">
        <v>118</v>
      </c>
      <c r="E388" s="392" t="s">
        <v>1214</v>
      </c>
      <c r="F388" s="392" t="s">
        <v>134</v>
      </c>
      <c r="G388" s="397">
        <v>50</v>
      </c>
      <c r="H388" s="397">
        <v>50</v>
      </c>
      <c r="I388" s="192"/>
    </row>
    <row r="389" spans="1:9" ht="31.5" x14ac:dyDescent="0.25">
      <c r="A389" s="394" t="s">
        <v>1009</v>
      </c>
      <c r="B389" s="391">
        <v>903</v>
      </c>
      <c r="C389" s="395" t="s">
        <v>299</v>
      </c>
      <c r="D389" s="395" t="s">
        <v>118</v>
      </c>
      <c r="E389" s="395" t="s">
        <v>1215</v>
      </c>
      <c r="F389" s="395"/>
      <c r="G389" s="393">
        <f t="shared" ref="G389:H391" si="32">G390</f>
        <v>68.7</v>
      </c>
      <c r="H389" s="393">
        <f t="shared" si="32"/>
        <v>68.7</v>
      </c>
      <c r="I389" s="192"/>
    </row>
    <row r="390" spans="1:9" ht="31.5" x14ac:dyDescent="0.25">
      <c r="A390" s="396" t="s">
        <v>1465</v>
      </c>
      <c r="B390" s="390">
        <v>903</v>
      </c>
      <c r="C390" s="392" t="s">
        <v>299</v>
      </c>
      <c r="D390" s="392" t="s">
        <v>118</v>
      </c>
      <c r="E390" s="392" t="s">
        <v>1216</v>
      </c>
      <c r="F390" s="392"/>
      <c r="G390" s="397">
        <f t="shared" si="32"/>
        <v>68.7</v>
      </c>
      <c r="H390" s="397">
        <f t="shared" si="32"/>
        <v>68.7</v>
      </c>
      <c r="I390" s="192"/>
    </row>
    <row r="391" spans="1:9" ht="31.5" x14ac:dyDescent="0.25">
      <c r="A391" s="396" t="s">
        <v>131</v>
      </c>
      <c r="B391" s="390">
        <v>903</v>
      </c>
      <c r="C391" s="392" t="s">
        <v>299</v>
      </c>
      <c r="D391" s="392" t="s">
        <v>118</v>
      </c>
      <c r="E391" s="392" t="s">
        <v>1216</v>
      </c>
      <c r="F391" s="392" t="s">
        <v>132</v>
      </c>
      <c r="G391" s="397">
        <f t="shared" si="32"/>
        <v>68.7</v>
      </c>
      <c r="H391" s="397">
        <f t="shared" si="32"/>
        <v>68.7</v>
      </c>
      <c r="I391" s="192"/>
    </row>
    <row r="392" spans="1:9" ht="31.5" x14ac:dyDescent="0.25">
      <c r="A392" s="396" t="s">
        <v>133</v>
      </c>
      <c r="B392" s="390">
        <v>903</v>
      </c>
      <c r="C392" s="392" t="s">
        <v>299</v>
      </c>
      <c r="D392" s="392" t="s">
        <v>118</v>
      </c>
      <c r="E392" s="392" t="s">
        <v>1216</v>
      </c>
      <c r="F392" s="392" t="s">
        <v>134</v>
      </c>
      <c r="G392" s="397">
        <f>3.5+65.2</f>
        <v>68.7</v>
      </c>
      <c r="H392" s="397">
        <f t="shared" ref="H392" si="33">G392</f>
        <v>68.7</v>
      </c>
      <c r="I392" s="192"/>
    </row>
    <row r="393" spans="1:9" ht="31.5" x14ac:dyDescent="0.25">
      <c r="A393" s="195" t="s">
        <v>1177</v>
      </c>
      <c r="B393" s="391">
        <v>903</v>
      </c>
      <c r="C393" s="395" t="s">
        <v>299</v>
      </c>
      <c r="D393" s="395" t="s">
        <v>118</v>
      </c>
      <c r="E393" s="395" t="s">
        <v>1211</v>
      </c>
      <c r="F393" s="395"/>
      <c r="G393" s="393">
        <f t="shared" ref="G393:H395" si="34">G394</f>
        <v>300</v>
      </c>
      <c r="H393" s="393">
        <f t="shared" si="34"/>
        <v>1500</v>
      </c>
      <c r="I393" s="192"/>
    </row>
    <row r="394" spans="1:9" ht="15.75" x14ac:dyDescent="0.25">
      <c r="A394" s="98" t="s">
        <v>1184</v>
      </c>
      <c r="B394" s="390">
        <v>903</v>
      </c>
      <c r="C394" s="392" t="s">
        <v>299</v>
      </c>
      <c r="D394" s="392" t="s">
        <v>118</v>
      </c>
      <c r="E394" s="392" t="s">
        <v>1212</v>
      </c>
      <c r="F394" s="392"/>
      <c r="G394" s="397">
        <f t="shared" si="34"/>
        <v>300</v>
      </c>
      <c r="H394" s="397">
        <f t="shared" si="34"/>
        <v>1500</v>
      </c>
      <c r="I394" s="192"/>
    </row>
    <row r="395" spans="1:9" ht="31.5" x14ac:dyDescent="0.25">
      <c r="A395" s="396" t="s">
        <v>131</v>
      </c>
      <c r="B395" s="390">
        <v>903</v>
      </c>
      <c r="C395" s="392" t="s">
        <v>299</v>
      </c>
      <c r="D395" s="392" t="s">
        <v>118</v>
      </c>
      <c r="E395" s="392" t="s">
        <v>1212</v>
      </c>
      <c r="F395" s="392" t="s">
        <v>132</v>
      </c>
      <c r="G395" s="397">
        <f>G396</f>
        <v>300</v>
      </c>
      <c r="H395" s="397">
        <f t="shared" si="34"/>
        <v>1500</v>
      </c>
      <c r="I395" s="192"/>
    </row>
    <row r="396" spans="1:9" ht="31.5" x14ac:dyDescent="0.25">
      <c r="A396" s="396" t="s">
        <v>133</v>
      </c>
      <c r="B396" s="390">
        <v>903</v>
      </c>
      <c r="C396" s="392" t="s">
        <v>299</v>
      </c>
      <c r="D396" s="392" t="s">
        <v>118</v>
      </c>
      <c r="E396" s="392" t="s">
        <v>1212</v>
      </c>
      <c r="F396" s="392" t="s">
        <v>134</v>
      </c>
      <c r="G396" s="397">
        <v>300</v>
      </c>
      <c r="H396" s="397">
        <v>1500</v>
      </c>
      <c r="I396" s="192"/>
    </row>
    <row r="397" spans="1:9" ht="31.5" hidden="1" x14ac:dyDescent="0.25">
      <c r="A397" s="302" t="s">
        <v>1330</v>
      </c>
      <c r="B397" s="391">
        <v>903</v>
      </c>
      <c r="C397" s="395" t="s">
        <v>299</v>
      </c>
      <c r="D397" s="395" t="s">
        <v>118</v>
      </c>
      <c r="E397" s="395"/>
      <c r="F397" s="395"/>
      <c r="G397" s="393">
        <f t="shared" ref="G397:H399" si="35">G398</f>
        <v>0</v>
      </c>
      <c r="H397" s="393">
        <f t="shared" si="35"/>
        <v>0</v>
      </c>
      <c r="I397" s="192"/>
    </row>
    <row r="398" spans="1:9" ht="15.75" hidden="1" x14ac:dyDescent="0.25">
      <c r="A398" s="396"/>
      <c r="B398" s="390">
        <v>903</v>
      </c>
      <c r="C398" s="392" t="s">
        <v>299</v>
      </c>
      <c r="D398" s="392" t="s">
        <v>118</v>
      </c>
      <c r="E398" s="392"/>
      <c r="F398" s="392"/>
      <c r="G398" s="397">
        <f t="shared" si="35"/>
        <v>0</v>
      </c>
      <c r="H398" s="397">
        <f t="shared" si="35"/>
        <v>0</v>
      </c>
      <c r="I398" s="192"/>
    </row>
    <row r="399" spans="1:9" ht="31.5" hidden="1" x14ac:dyDescent="0.25">
      <c r="A399" s="396" t="s">
        <v>131</v>
      </c>
      <c r="B399" s="390">
        <v>903</v>
      </c>
      <c r="C399" s="392" t="s">
        <v>299</v>
      </c>
      <c r="D399" s="392" t="s">
        <v>118</v>
      </c>
      <c r="E399" s="392"/>
      <c r="F399" s="392" t="s">
        <v>132</v>
      </c>
      <c r="G399" s="397">
        <f t="shared" si="35"/>
        <v>0</v>
      </c>
      <c r="H399" s="397">
        <f t="shared" si="35"/>
        <v>0</v>
      </c>
      <c r="I399" s="192"/>
    </row>
    <row r="400" spans="1:9" ht="31.5" hidden="1" x14ac:dyDescent="0.25">
      <c r="A400" s="396" t="s">
        <v>133</v>
      </c>
      <c r="B400" s="390">
        <v>903</v>
      </c>
      <c r="C400" s="392" t="s">
        <v>299</v>
      </c>
      <c r="D400" s="392" t="s">
        <v>118</v>
      </c>
      <c r="E400" s="392"/>
      <c r="F400" s="392" t="s">
        <v>134</v>
      </c>
      <c r="G400" s="397">
        <v>0</v>
      </c>
      <c r="H400" s="397">
        <v>0</v>
      </c>
      <c r="I400" s="192"/>
    </row>
    <row r="401" spans="1:9" ht="63" x14ac:dyDescent="0.25">
      <c r="A401" s="34" t="s">
        <v>781</v>
      </c>
      <c r="B401" s="391">
        <v>903</v>
      </c>
      <c r="C401" s="395" t="s">
        <v>299</v>
      </c>
      <c r="D401" s="395" t="s">
        <v>118</v>
      </c>
      <c r="E401" s="395" t="s">
        <v>324</v>
      </c>
      <c r="F401" s="395"/>
      <c r="G401" s="393">
        <f>G403</f>
        <v>10</v>
      </c>
      <c r="H401" s="393">
        <f>H403</f>
        <v>0</v>
      </c>
      <c r="I401" s="192"/>
    </row>
    <row r="402" spans="1:9" ht="63" x14ac:dyDescent="0.25">
      <c r="A402" s="34" t="s">
        <v>1024</v>
      </c>
      <c r="B402" s="391">
        <v>903</v>
      </c>
      <c r="C402" s="395" t="s">
        <v>299</v>
      </c>
      <c r="D402" s="395" t="s">
        <v>118</v>
      </c>
      <c r="E402" s="395" t="s">
        <v>933</v>
      </c>
      <c r="F402" s="395"/>
      <c r="G402" s="393">
        <f>G405</f>
        <v>10</v>
      </c>
      <c r="H402" s="393">
        <f>H405</f>
        <v>0</v>
      </c>
      <c r="I402" s="192"/>
    </row>
    <row r="403" spans="1:9" ht="47.25" x14ac:dyDescent="0.25">
      <c r="A403" s="31" t="s">
        <v>1081</v>
      </c>
      <c r="B403" s="390">
        <v>903</v>
      </c>
      <c r="C403" s="392" t="s">
        <v>299</v>
      </c>
      <c r="D403" s="392" t="s">
        <v>118</v>
      </c>
      <c r="E403" s="392" t="s">
        <v>1025</v>
      </c>
      <c r="F403" s="392"/>
      <c r="G403" s="397">
        <f>G404</f>
        <v>10</v>
      </c>
      <c r="H403" s="397">
        <f>H404</f>
        <v>0</v>
      </c>
      <c r="I403" s="192"/>
    </row>
    <row r="404" spans="1:9" ht="31.5" x14ac:dyDescent="0.25">
      <c r="A404" s="396" t="s">
        <v>131</v>
      </c>
      <c r="B404" s="390">
        <v>903</v>
      </c>
      <c r="C404" s="392" t="s">
        <v>299</v>
      </c>
      <c r="D404" s="392" t="s">
        <v>118</v>
      </c>
      <c r="E404" s="392" t="s">
        <v>1025</v>
      </c>
      <c r="F404" s="392" t="s">
        <v>132</v>
      </c>
      <c r="G404" s="397">
        <f>G405</f>
        <v>10</v>
      </c>
      <c r="H404" s="397">
        <f>H405</f>
        <v>0</v>
      </c>
      <c r="I404" s="192"/>
    </row>
    <row r="405" spans="1:9" ht="31.5" x14ac:dyDescent="0.25">
      <c r="A405" s="396" t="s">
        <v>133</v>
      </c>
      <c r="B405" s="390">
        <v>903</v>
      </c>
      <c r="C405" s="392" t="s">
        <v>299</v>
      </c>
      <c r="D405" s="392" t="s">
        <v>118</v>
      </c>
      <c r="E405" s="392" t="s">
        <v>1025</v>
      </c>
      <c r="F405" s="392" t="s">
        <v>134</v>
      </c>
      <c r="G405" s="397">
        <v>10</v>
      </c>
      <c r="H405" s="397">
        <v>0</v>
      </c>
      <c r="I405" s="192"/>
    </row>
    <row r="406" spans="1:9" ht="47.25" x14ac:dyDescent="0.25">
      <c r="A406" s="400" t="s">
        <v>1349</v>
      </c>
      <c r="B406" s="391">
        <v>903</v>
      </c>
      <c r="C406" s="395" t="s">
        <v>299</v>
      </c>
      <c r="D406" s="395" t="s">
        <v>118</v>
      </c>
      <c r="E406" s="395" t="s">
        <v>705</v>
      </c>
      <c r="F406" s="403"/>
      <c r="G406" s="393">
        <f t="shared" ref="G406:H409" si="36">G407</f>
        <v>878.7</v>
      </c>
      <c r="H406" s="393">
        <f t="shared" si="36"/>
        <v>913.9</v>
      </c>
      <c r="I406" s="192"/>
    </row>
    <row r="407" spans="1:9" ht="47.25" x14ac:dyDescent="0.25">
      <c r="A407" s="400" t="s">
        <v>889</v>
      </c>
      <c r="B407" s="391">
        <v>903</v>
      </c>
      <c r="C407" s="395" t="s">
        <v>299</v>
      </c>
      <c r="D407" s="395" t="s">
        <v>118</v>
      </c>
      <c r="E407" s="395" t="s">
        <v>887</v>
      </c>
      <c r="F407" s="403"/>
      <c r="G407" s="393">
        <f t="shared" si="36"/>
        <v>878.7</v>
      </c>
      <c r="H407" s="393">
        <f t="shared" si="36"/>
        <v>913.9</v>
      </c>
      <c r="I407" s="192"/>
    </row>
    <row r="408" spans="1:9" ht="41.25" customHeight="1" x14ac:dyDescent="0.25">
      <c r="A408" s="98" t="s">
        <v>1021</v>
      </c>
      <c r="B408" s="390">
        <v>903</v>
      </c>
      <c r="C408" s="392" t="s">
        <v>299</v>
      </c>
      <c r="D408" s="392" t="s">
        <v>118</v>
      </c>
      <c r="E408" s="392" t="s">
        <v>888</v>
      </c>
      <c r="F408" s="398"/>
      <c r="G408" s="397">
        <f t="shared" si="36"/>
        <v>878.7</v>
      </c>
      <c r="H408" s="397">
        <f t="shared" si="36"/>
        <v>913.9</v>
      </c>
      <c r="I408" s="192"/>
    </row>
    <row r="409" spans="1:9" ht="31.5" x14ac:dyDescent="0.25">
      <c r="A409" s="396" t="s">
        <v>131</v>
      </c>
      <c r="B409" s="390">
        <v>903</v>
      </c>
      <c r="C409" s="392" t="s">
        <v>299</v>
      </c>
      <c r="D409" s="392" t="s">
        <v>118</v>
      </c>
      <c r="E409" s="392" t="s">
        <v>888</v>
      </c>
      <c r="F409" s="398" t="s">
        <v>132</v>
      </c>
      <c r="G409" s="397">
        <f t="shared" si="36"/>
        <v>878.7</v>
      </c>
      <c r="H409" s="397">
        <f t="shared" si="36"/>
        <v>913.9</v>
      </c>
      <c r="I409" s="192"/>
    </row>
    <row r="410" spans="1:9" ht="47.25" x14ac:dyDescent="0.25">
      <c r="A410" s="396" t="s">
        <v>133</v>
      </c>
      <c r="B410" s="390">
        <v>903</v>
      </c>
      <c r="C410" s="392" t="s">
        <v>299</v>
      </c>
      <c r="D410" s="392" t="s">
        <v>118</v>
      </c>
      <c r="E410" s="392" t="s">
        <v>888</v>
      </c>
      <c r="F410" s="398" t="s">
        <v>134</v>
      </c>
      <c r="G410" s="397">
        <v>878.7</v>
      </c>
      <c r="H410" s="397">
        <v>913.9</v>
      </c>
      <c r="I410" s="192"/>
    </row>
    <row r="411" spans="1:9" ht="31.5" x14ac:dyDescent="0.25">
      <c r="A411" s="394" t="s">
        <v>333</v>
      </c>
      <c r="B411" s="391">
        <v>903</v>
      </c>
      <c r="C411" s="395" t="s">
        <v>299</v>
      </c>
      <c r="D411" s="395" t="s">
        <v>150</v>
      </c>
      <c r="E411" s="395"/>
      <c r="F411" s="395"/>
      <c r="G411" s="393">
        <f>G412+G422+G434+G440</f>
        <v>18566.400000000001</v>
      </c>
      <c r="H411" s="393">
        <f>H412+H422+H434+H440</f>
        <v>18595.400000000001</v>
      </c>
      <c r="I411" s="192"/>
    </row>
    <row r="412" spans="1:9" ht="31.5" x14ac:dyDescent="0.25">
      <c r="A412" s="394" t="s">
        <v>916</v>
      </c>
      <c r="B412" s="391">
        <v>903</v>
      </c>
      <c r="C412" s="395" t="s">
        <v>299</v>
      </c>
      <c r="D412" s="395" t="s">
        <v>150</v>
      </c>
      <c r="E412" s="395" t="s">
        <v>857</v>
      </c>
      <c r="F412" s="395"/>
      <c r="G412" s="393">
        <f>G413</f>
        <v>7291.6</v>
      </c>
      <c r="H412" s="393">
        <f>H413</f>
        <v>7291.6</v>
      </c>
      <c r="I412" s="192"/>
    </row>
    <row r="413" spans="1:9" ht="15.75" x14ac:dyDescent="0.25">
      <c r="A413" s="394" t="s">
        <v>917</v>
      </c>
      <c r="B413" s="391">
        <v>903</v>
      </c>
      <c r="C413" s="395" t="s">
        <v>299</v>
      </c>
      <c r="D413" s="395" t="s">
        <v>150</v>
      </c>
      <c r="E413" s="395" t="s">
        <v>858</v>
      </c>
      <c r="F413" s="395"/>
      <c r="G413" s="393">
        <f>G414+G419</f>
        <v>7291.6</v>
      </c>
      <c r="H413" s="393">
        <f>H414+H419</f>
        <v>7291.6</v>
      </c>
      <c r="I413" s="192"/>
    </row>
    <row r="414" spans="1:9" ht="31.5" x14ac:dyDescent="0.25">
      <c r="A414" s="396" t="s">
        <v>896</v>
      </c>
      <c r="B414" s="390">
        <v>903</v>
      </c>
      <c r="C414" s="392" t="s">
        <v>299</v>
      </c>
      <c r="D414" s="392" t="s">
        <v>150</v>
      </c>
      <c r="E414" s="392" t="s">
        <v>859</v>
      </c>
      <c r="F414" s="392"/>
      <c r="G414" s="397">
        <f>G415</f>
        <v>7015.6</v>
      </c>
      <c r="H414" s="397">
        <f>H415</f>
        <v>7015.6</v>
      </c>
      <c r="I414" s="192"/>
    </row>
    <row r="415" spans="1:9" ht="78.75" x14ac:dyDescent="0.25">
      <c r="A415" s="396" t="s">
        <v>127</v>
      </c>
      <c r="B415" s="390">
        <v>903</v>
      </c>
      <c r="C415" s="392" t="s">
        <v>299</v>
      </c>
      <c r="D415" s="392" t="s">
        <v>150</v>
      </c>
      <c r="E415" s="392" t="s">
        <v>859</v>
      </c>
      <c r="F415" s="392" t="s">
        <v>128</v>
      </c>
      <c r="G415" s="397">
        <f>G416</f>
        <v>7015.6</v>
      </c>
      <c r="H415" s="397">
        <f>H416</f>
        <v>7015.6</v>
      </c>
      <c r="I415" s="192"/>
    </row>
    <row r="416" spans="1:9" ht="31.5" x14ac:dyDescent="0.25">
      <c r="A416" s="396" t="s">
        <v>129</v>
      </c>
      <c r="B416" s="390">
        <v>903</v>
      </c>
      <c r="C416" s="392" t="s">
        <v>299</v>
      </c>
      <c r="D416" s="392" t="s">
        <v>150</v>
      </c>
      <c r="E416" s="392" t="s">
        <v>859</v>
      </c>
      <c r="F416" s="392" t="s">
        <v>130</v>
      </c>
      <c r="G416" s="397">
        <v>7015.6</v>
      </c>
      <c r="H416" s="397">
        <f t="shared" ref="H416:H499" si="37">G416</f>
        <v>7015.6</v>
      </c>
      <c r="I416" s="192"/>
    </row>
    <row r="417" spans="1:9" ht="31.5" hidden="1" x14ac:dyDescent="0.25">
      <c r="A417" s="396" t="s">
        <v>131</v>
      </c>
      <c r="B417" s="390">
        <v>903</v>
      </c>
      <c r="C417" s="392" t="s">
        <v>299</v>
      </c>
      <c r="D417" s="392" t="s">
        <v>150</v>
      </c>
      <c r="E417" s="392" t="s">
        <v>859</v>
      </c>
      <c r="F417" s="392" t="s">
        <v>132</v>
      </c>
      <c r="G417" s="397">
        <f>'[1]Пр.5 ведом.21'!G408</f>
        <v>0</v>
      </c>
      <c r="H417" s="397">
        <f t="shared" si="37"/>
        <v>0</v>
      </c>
      <c r="I417" s="192"/>
    </row>
    <row r="418" spans="1:9" ht="47.25" hidden="1" x14ac:dyDescent="0.25">
      <c r="A418" s="396" t="s">
        <v>133</v>
      </c>
      <c r="B418" s="390">
        <v>903</v>
      </c>
      <c r="C418" s="392" t="s">
        <v>299</v>
      </c>
      <c r="D418" s="392" t="s">
        <v>150</v>
      </c>
      <c r="E418" s="392" t="s">
        <v>859</v>
      </c>
      <c r="F418" s="392" t="s">
        <v>134</v>
      </c>
      <c r="G418" s="397">
        <f>'[1]Пр.5 ведом.21'!G409</f>
        <v>0</v>
      </c>
      <c r="H418" s="397">
        <f t="shared" si="37"/>
        <v>0</v>
      </c>
      <c r="I418" s="192"/>
    </row>
    <row r="419" spans="1:9" ht="47.25" x14ac:dyDescent="0.25">
      <c r="A419" s="396" t="s">
        <v>838</v>
      </c>
      <c r="B419" s="390">
        <v>903</v>
      </c>
      <c r="C419" s="392" t="s">
        <v>299</v>
      </c>
      <c r="D419" s="392" t="s">
        <v>150</v>
      </c>
      <c r="E419" s="392" t="s">
        <v>861</v>
      </c>
      <c r="F419" s="392"/>
      <c r="G419" s="397">
        <f>G420</f>
        <v>276</v>
      </c>
      <c r="H419" s="397">
        <f>H420</f>
        <v>276</v>
      </c>
      <c r="I419" s="192"/>
    </row>
    <row r="420" spans="1:9" ht="78.75" x14ac:dyDescent="0.25">
      <c r="A420" s="396" t="s">
        <v>127</v>
      </c>
      <c r="B420" s="390">
        <v>903</v>
      </c>
      <c r="C420" s="392" t="s">
        <v>299</v>
      </c>
      <c r="D420" s="392" t="s">
        <v>150</v>
      </c>
      <c r="E420" s="392" t="s">
        <v>861</v>
      </c>
      <c r="F420" s="392" t="s">
        <v>128</v>
      </c>
      <c r="G420" s="397">
        <f>G421</f>
        <v>276</v>
      </c>
      <c r="H420" s="397">
        <f>H421</f>
        <v>276</v>
      </c>
      <c r="I420" s="192"/>
    </row>
    <row r="421" spans="1:9" ht="31.5" x14ac:dyDescent="0.25">
      <c r="A421" s="396" t="s">
        <v>129</v>
      </c>
      <c r="B421" s="390">
        <v>903</v>
      </c>
      <c r="C421" s="392" t="s">
        <v>299</v>
      </c>
      <c r="D421" s="392" t="s">
        <v>150</v>
      </c>
      <c r="E421" s="392" t="s">
        <v>861</v>
      </c>
      <c r="F421" s="392" t="s">
        <v>130</v>
      </c>
      <c r="G421" s="397">
        <v>276</v>
      </c>
      <c r="H421" s="397">
        <f t="shared" si="37"/>
        <v>276</v>
      </c>
      <c r="I421" s="192"/>
    </row>
    <row r="422" spans="1:9" ht="15.75" x14ac:dyDescent="0.25">
      <c r="A422" s="394" t="s">
        <v>925</v>
      </c>
      <c r="B422" s="391">
        <v>903</v>
      </c>
      <c r="C422" s="395" t="s">
        <v>299</v>
      </c>
      <c r="D422" s="395" t="s">
        <v>150</v>
      </c>
      <c r="E422" s="395" t="s">
        <v>865</v>
      </c>
      <c r="F422" s="395"/>
      <c r="G422" s="393">
        <f>G423</f>
        <v>11014.8</v>
      </c>
      <c r="H422" s="393">
        <f>H423</f>
        <v>11014.8</v>
      </c>
      <c r="I422" s="192"/>
    </row>
    <row r="423" spans="1:9" ht="31.5" x14ac:dyDescent="0.25">
      <c r="A423" s="394" t="s">
        <v>928</v>
      </c>
      <c r="B423" s="391">
        <v>903</v>
      </c>
      <c r="C423" s="395" t="s">
        <v>299</v>
      </c>
      <c r="D423" s="395" t="s">
        <v>150</v>
      </c>
      <c r="E423" s="395" t="s">
        <v>913</v>
      </c>
      <c r="F423" s="395"/>
      <c r="G423" s="393">
        <f>G424+G431</f>
        <v>11014.8</v>
      </c>
      <c r="H423" s="393">
        <f>H424+H431</f>
        <v>11014.8</v>
      </c>
      <c r="I423" s="192"/>
    </row>
    <row r="424" spans="1:9" ht="31.5" x14ac:dyDescent="0.25">
      <c r="A424" s="396" t="s">
        <v>902</v>
      </c>
      <c r="B424" s="390">
        <v>903</v>
      </c>
      <c r="C424" s="392" t="s">
        <v>299</v>
      </c>
      <c r="D424" s="392" t="s">
        <v>150</v>
      </c>
      <c r="E424" s="392" t="s">
        <v>914</v>
      </c>
      <c r="F424" s="392"/>
      <c r="G424" s="397">
        <f>G425+G427+G429</f>
        <v>10804.8</v>
      </c>
      <c r="H424" s="397">
        <f>H425+H427+H429</f>
        <v>10804.8</v>
      </c>
      <c r="I424" s="192"/>
    </row>
    <row r="425" spans="1:9" ht="78.75" x14ac:dyDescent="0.25">
      <c r="A425" s="396" t="s">
        <v>127</v>
      </c>
      <c r="B425" s="390">
        <v>903</v>
      </c>
      <c r="C425" s="392" t="s">
        <v>299</v>
      </c>
      <c r="D425" s="392" t="s">
        <v>150</v>
      </c>
      <c r="E425" s="392" t="s">
        <v>914</v>
      </c>
      <c r="F425" s="392" t="s">
        <v>128</v>
      </c>
      <c r="G425" s="397">
        <f>G426</f>
        <v>8853.7999999999993</v>
      </c>
      <c r="H425" s="397">
        <f>H426</f>
        <v>8853.7999999999993</v>
      </c>
      <c r="I425" s="192"/>
    </row>
    <row r="426" spans="1:9" ht="24.75" customHeight="1" x14ac:dyDescent="0.25">
      <c r="A426" s="396" t="s">
        <v>342</v>
      </c>
      <c r="B426" s="390">
        <v>903</v>
      </c>
      <c r="C426" s="392" t="s">
        <v>299</v>
      </c>
      <c r="D426" s="392" t="s">
        <v>150</v>
      </c>
      <c r="E426" s="392" t="s">
        <v>914</v>
      </c>
      <c r="F426" s="392" t="s">
        <v>209</v>
      </c>
      <c r="G426" s="397">
        <v>8853.7999999999993</v>
      </c>
      <c r="H426" s="397">
        <f t="shared" si="37"/>
        <v>8853.7999999999993</v>
      </c>
      <c r="I426" s="192"/>
    </row>
    <row r="427" spans="1:9" ht="31.5" x14ac:dyDescent="0.25">
      <c r="A427" s="396" t="s">
        <v>131</v>
      </c>
      <c r="B427" s="390">
        <v>903</v>
      </c>
      <c r="C427" s="392" t="s">
        <v>299</v>
      </c>
      <c r="D427" s="392" t="s">
        <v>150</v>
      </c>
      <c r="E427" s="392" t="s">
        <v>914</v>
      </c>
      <c r="F427" s="392" t="s">
        <v>132</v>
      </c>
      <c r="G427" s="397">
        <f>G428</f>
        <v>1937</v>
      </c>
      <c r="H427" s="397">
        <f>H428</f>
        <v>1937</v>
      </c>
      <c r="I427" s="192"/>
    </row>
    <row r="428" spans="1:9" ht="47.25" x14ac:dyDescent="0.25">
      <c r="A428" s="396" t="s">
        <v>133</v>
      </c>
      <c r="B428" s="390">
        <v>903</v>
      </c>
      <c r="C428" s="392" t="s">
        <v>299</v>
      </c>
      <c r="D428" s="392" t="s">
        <v>150</v>
      </c>
      <c r="E428" s="392" t="s">
        <v>914</v>
      </c>
      <c r="F428" s="392" t="s">
        <v>134</v>
      </c>
      <c r="G428" s="397">
        <f>1937</f>
        <v>1937</v>
      </c>
      <c r="H428" s="397">
        <f t="shared" si="37"/>
        <v>1937</v>
      </c>
      <c r="I428" s="192"/>
    </row>
    <row r="429" spans="1:9" ht="15.75" x14ac:dyDescent="0.25">
      <c r="A429" s="396" t="s">
        <v>135</v>
      </c>
      <c r="B429" s="390">
        <v>903</v>
      </c>
      <c r="C429" s="392" t="s">
        <v>299</v>
      </c>
      <c r="D429" s="392" t="s">
        <v>150</v>
      </c>
      <c r="E429" s="392" t="s">
        <v>914</v>
      </c>
      <c r="F429" s="392" t="s">
        <v>145</v>
      </c>
      <c r="G429" s="397">
        <f>G430</f>
        <v>14</v>
      </c>
      <c r="H429" s="397">
        <f>H430</f>
        <v>14</v>
      </c>
      <c r="I429" s="192"/>
    </row>
    <row r="430" spans="1:9" ht="15.75" x14ac:dyDescent="0.25">
      <c r="A430" s="396" t="s">
        <v>568</v>
      </c>
      <c r="B430" s="390">
        <v>903</v>
      </c>
      <c r="C430" s="392" t="s">
        <v>299</v>
      </c>
      <c r="D430" s="392" t="s">
        <v>150</v>
      </c>
      <c r="E430" s="392" t="s">
        <v>914</v>
      </c>
      <c r="F430" s="392" t="s">
        <v>138</v>
      </c>
      <c r="G430" s="397">
        <f>14</f>
        <v>14</v>
      </c>
      <c r="H430" s="397">
        <f t="shared" si="37"/>
        <v>14</v>
      </c>
      <c r="I430" s="192"/>
    </row>
    <row r="431" spans="1:9" ht="47.25" x14ac:dyDescent="0.25">
      <c r="A431" s="396" t="s">
        <v>838</v>
      </c>
      <c r="B431" s="390">
        <v>903</v>
      </c>
      <c r="C431" s="392" t="s">
        <v>299</v>
      </c>
      <c r="D431" s="392" t="s">
        <v>150</v>
      </c>
      <c r="E431" s="392" t="s">
        <v>915</v>
      </c>
      <c r="F431" s="392"/>
      <c r="G431" s="397">
        <f>G432</f>
        <v>210</v>
      </c>
      <c r="H431" s="397">
        <f>H432</f>
        <v>210</v>
      </c>
      <c r="I431" s="192"/>
    </row>
    <row r="432" spans="1:9" ht="78.75" x14ac:dyDescent="0.25">
      <c r="A432" s="396" t="s">
        <v>127</v>
      </c>
      <c r="B432" s="390">
        <v>903</v>
      </c>
      <c r="C432" s="392" t="s">
        <v>299</v>
      </c>
      <c r="D432" s="392" t="s">
        <v>150</v>
      </c>
      <c r="E432" s="392" t="s">
        <v>915</v>
      </c>
      <c r="F432" s="392" t="s">
        <v>128</v>
      </c>
      <c r="G432" s="397">
        <f>G433</f>
        <v>210</v>
      </c>
      <c r="H432" s="397">
        <f>H433</f>
        <v>210</v>
      </c>
      <c r="I432" s="192"/>
    </row>
    <row r="433" spans="1:9" ht="25.5" customHeight="1" x14ac:dyDescent="0.25">
      <c r="A433" s="396" t="s">
        <v>342</v>
      </c>
      <c r="B433" s="390">
        <v>903</v>
      </c>
      <c r="C433" s="392" t="s">
        <v>299</v>
      </c>
      <c r="D433" s="392" t="s">
        <v>150</v>
      </c>
      <c r="E433" s="392" t="s">
        <v>915</v>
      </c>
      <c r="F433" s="392" t="s">
        <v>209</v>
      </c>
      <c r="G433" s="397">
        <f>210</f>
        <v>210</v>
      </c>
      <c r="H433" s="397">
        <f t="shared" si="37"/>
        <v>210</v>
      </c>
      <c r="I433" s="192"/>
    </row>
    <row r="434" spans="1:9" ht="47.25" x14ac:dyDescent="0.25">
      <c r="A434" s="394" t="s">
        <v>1365</v>
      </c>
      <c r="B434" s="391">
        <v>903</v>
      </c>
      <c r="C434" s="395" t="s">
        <v>299</v>
      </c>
      <c r="D434" s="395" t="s">
        <v>150</v>
      </c>
      <c r="E434" s="395" t="s">
        <v>344</v>
      </c>
      <c r="F434" s="395"/>
      <c r="G434" s="393">
        <f>G435</f>
        <v>260</v>
      </c>
      <c r="H434" s="393">
        <f>H435</f>
        <v>285</v>
      </c>
      <c r="I434" s="192"/>
    </row>
    <row r="435" spans="1:9" ht="33.950000000000003" customHeight="1" x14ac:dyDescent="0.25">
      <c r="A435" s="394" t="s">
        <v>1352</v>
      </c>
      <c r="B435" s="391">
        <v>903</v>
      </c>
      <c r="C435" s="395" t="s">
        <v>299</v>
      </c>
      <c r="D435" s="395" t="s">
        <v>150</v>
      </c>
      <c r="E435" s="395" t="s">
        <v>362</v>
      </c>
      <c r="F435" s="395"/>
      <c r="G435" s="393">
        <f t="shared" ref="G435:H436" si="38">G436</f>
        <v>260</v>
      </c>
      <c r="H435" s="393">
        <f t="shared" si="38"/>
        <v>285</v>
      </c>
      <c r="I435" s="192"/>
    </row>
    <row r="436" spans="1:9" ht="31.5" x14ac:dyDescent="0.25">
      <c r="A436" s="394" t="s">
        <v>996</v>
      </c>
      <c r="B436" s="391">
        <v>903</v>
      </c>
      <c r="C436" s="395" t="s">
        <v>299</v>
      </c>
      <c r="D436" s="395" t="s">
        <v>150</v>
      </c>
      <c r="E436" s="395" t="s">
        <v>1219</v>
      </c>
      <c r="F436" s="395"/>
      <c r="G436" s="393">
        <f t="shared" si="38"/>
        <v>260</v>
      </c>
      <c r="H436" s="393">
        <f t="shared" si="38"/>
        <v>285</v>
      </c>
      <c r="I436" s="192"/>
    </row>
    <row r="437" spans="1:9" ht="31.5" x14ac:dyDescent="0.25">
      <c r="A437" s="396" t="s">
        <v>995</v>
      </c>
      <c r="B437" s="390">
        <v>903</v>
      </c>
      <c r="C437" s="392" t="s">
        <v>299</v>
      </c>
      <c r="D437" s="392" t="s">
        <v>150</v>
      </c>
      <c r="E437" s="392" t="s">
        <v>1220</v>
      </c>
      <c r="F437" s="392"/>
      <c r="G437" s="397">
        <f>G438</f>
        <v>260</v>
      </c>
      <c r="H437" s="397">
        <f>H438</f>
        <v>285</v>
      </c>
      <c r="I437" s="192"/>
    </row>
    <row r="438" spans="1:9" ht="31.5" x14ac:dyDescent="0.25">
      <c r="A438" s="396" t="s">
        <v>131</v>
      </c>
      <c r="B438" s="390">
        <v>903</v>
      </c>
      <c r="C438" s="392" t="s">
        <v>299</v>
      </c>
      <c r="D438" s="392" t="s">
        <v>150</v>
      </c>
      <c r="E438" s="392" t="s">
        <v>1220</v>
      </c>
      <c r="F438" s="392" t="s">
        <v>132</v>
      </c>
      <c r="G438" s="397">
        <f>G439</f>
        <v>260</v>
      </c>
      <c r="H438" s="397">
        <f>H439</f>
        <v>285</v>
      </c>
      <c r="I438" s="192"/>
    </row>
    <row r="439" spans="1:9" ht="37.35" customHeight="1" x14ac:dyDescent="0.25">
      <c r="A439" s="396" t="s">
        <v>133</v>
      </c>
      <c r="B439" s="390">
        <v>903</v>
      </c>
      <c r="C439" s="392" t="s">
        <v>299</v>
      </c>
      <c r="D439" s="392" t="s">
        <v>150</v>
      </c>
      <c r="E439" s="392" t="s">
        <v>1220</v>
      </c>
      <c r="F439" s="392" t="s">
        <v>134</v>
      </c>
      <c r="G439" s="397">
        <f>260</f>
        <v>260</v>
      </c>
      <c r="H439" s="397">
        <v>285</v>
      </c>
      <c r="I439" s="192"/>
    </row>
    <row r="440" spans="1:9" ht="51" customHeight="1" x14ac:dyDescent="0.25">
      <c r="A440" s="34" t="s">
        <v>1432</v>
      </c>
      <c r="B440" s="391">
        <v>903</v>
      </c>
      <c r="C440" s="395" t="s">
        <v>299</v>
      </c>
      <c r="D440" s="395" t="s">
        <v>150</v>
      </c>
      <c r="E440" s="395" t="s">
        <v>324</v>
      </c>
      <c r="F440" s="395"/>
      <c r="G440" s="393">
        <f>G442</f>
        <v>0</v>
      </c>
      <c r="H440" s="393">
        <f>H441</f>
        <v>4</v>
      </c>
      <c r="I440" s="192"/>
    </row>
    <row r="441" spans="1:9" ht="59.1" customHeight="1" x14ac:dyDescent="0.25">
      <c r="A441" s="34" t="s">
        <v>1024</v>
      </c>
      <c r="B441" s="391">
        <v>903</v>
      </c>
      <c r="C441" s="395" t="s">
        <v>299</v>
      </c>
      <c r="D441" s="395" t="s">
        <v>150</v>
      </c>
      <c r="E441" s="395" t="s">
        <v>933</v>
      </c>
      <c r="F441" s="395"/>
      <c r="G441" s="393">
        <f>G444</f>
        <v>0</v>
      </c>
      <c r="H441" s="393">
        <f>H442</f>
        <v>4</v>
      </c>
      <c r="I441" s="192"/>
    </row>
    <row r="442" spans="1:9" ht="53.1" customHeight="1" x14ac:dyDescent="0.25">
      <c r="A442" s="31" t="s">
        <v>1081</v>
      </c>
      <c r="B442" s="390">
        <v>903</v>
      </c>
      <c r="C442" s="392" t="s">
        <v>299</v>
      </c>
      <c r="D442" s="392" t="s">
        <v>150</v>
      </c>
      <c r="E442" s="392" t="s">
        <v>1025</v>
      </c>
      <c r="F442" s="392"/>
      <c r="G442" s="397">
        <f>G443</f>
        <v>0</v>
      </c>
      <c r="H442" s="397">
        <f>H443</f>
        <v>4</v>
      </c>
      <c r="I442" s="192"/>
    </row>
    <row r="443" spans="1:9" ht="37.35" customHeight="1" x14ac:dyDescent="0.25">
      <c r="A443" s="396" t="s">
        <v>131</v>
      </c>
      <c r="B443" s="390">
        <v>903</v>
      </c>
      <c r="C443" s="392" t="s">
        <v>299</v>
      </c>
      <c r="D443" s="392" t="s">
        <v>150</v>
      </c>
      <c r="E443" s="392" t="s">
        <v>1025</v>
      </c>
      <c r="F443" s="392" t="s">
        <v>132</v>
      </c>
      <c r="G443" s="397">
        <f>G444</f>
        <v>0</v>
      </c>
      <c r="H443" s="397">
        <f>H444</f>
        <v>4</v>
      </c>
      <c r="I443" s="192"/>
    </row>
    <row r="444" spans="1:9" ht="37.35" customHeight="1" x14ac:dyDescent="0.25">
      <c r="A444" s="396" t="s">
        <v>133</v>
      </c>
      <c r="B444" s="390">
        <v>903</v>
      </c>
      <c r="C444" s="392" t="s">
        <v>299</v>
      </c>
      <c r="D444" s="392" t="s">
        <v>150</v>
      </c>
      <c r="E444" s="392" t="s">
        <v>1025</v>
      </c>
      <c r="F444" s="392" t="s">
        <v>134</v>
      </c>
      <c r="G444" s="397">
        <v>0</v>
      </c>
      <c r="H444" s="397">
        <v>4</v>
      </c>
      <c r="I444" s="192"/>
    </row>
    <row r="445" spans="1:9" ht="15.75" x14ac:dyDescent="0.25">
      <c r="A445" s="394" t="s">
        <v>243</v>
      </c>
      <c r="B445" s="391">
        <v>903</v>
      </c>
      <c r="C445" s="395" t="s">
        <v>244</v>
      </c>
      <c r="D445" s="395"/>
      <c r="E445" s="395"/>
      <c r="F445" s="395"/>
      <c r="G445" s="393">
        <f>G446</f>
        <v>2001.6100000000001</v>
      </c>
      <c r="H445" s="393">
        <f>H446</f>
        <v>2026.1100000000001</v>
      </c>
      <c r="I445" s="192"/>
    </row>
    <row r="446" spans="1:9" ht="15.75" x14ac:dyDescent="0.25">
      <c r="A446" s="394" t="s">
        <v>252</v>
      </c>
      <c r="B446" s="391">
        <v>903</v>
      </c>
      <c r="C446" s="395" t="s">
        <v>244</v>
      </c>
      <c r="D446" s="395" t="s">
        <v>215</v>
      </c>
      <c r="E446" s="395"/>
      <c r="F446" s="395"/>
      <c r="G446" s="393">
        <f>G447</f>
        <v>2001.6100000000001</v>
      </c>
      <c r="H446" s="393">
        <f>H447</f>
        <v>2026.1100000000001</v>
      </c>
      <c r="I446" s="192"/>
    </row>
    <row r="447" spans="1:9" ht="47.25" x14ac:dyDescent="0.25">
      <c r="A447" s="394" t="s">
        <v>1365</v>
      </c>
      <c r="B447" s="391">
        <v>903</v>
      </c>
      <c r="C447" s="395" t="s">
        <v>244</v>
      </c>
      <c r="D447" s="395" t="s">
        <v>215</v>
      </c>
      <c r="E447" s="395" t="s">
        <v>344</v>
      </c>
      <c r="F447" s="395"/>
      <c r="G447" s="393">
        <f>G448+G453</f>
        <v>2001.6100000000001</v>
      </c>
      <c r="H447" s="393">
        <f>H448+H453</f>
        <v>2026.1100000000001</v>
      </c>
      <c r="I447" s="192"/>
    </row>
    <row r="448" spans="1:9" ht="31.5" x14ac:dyDescent="0.25">
      <c r="A448" s="394" t="s">
        <v>352</v>
      </c>
      <c r="B448" s="391">
        <v>903</v>
      </c>
      <c r="C448" s="395" t="s">
        <v>244</v>
      </c>
      <c r="D448" s="395" t="s">
        <v>215</v>
      </c>
      <c r="E448" s="395" t="s">
        <v>353</v>
      </c>
      <c r="F448" s="395"/>
      <c r="G448" s="393">
        <f t="shared" ref="G448:H451" si="39">G449</f>
        <v>294.61</v>
      </c>
      <c r="H448" s="393">
        <f t="shared" si="39"/>
        <v>289.11</v>
      </c>
      <c r="I448" s="192"/>
    </row>
    <row r="449" spans="1:13" ht="31.5" x14ac:dyDescent="0.25">
      <c r="A449" s="394" t="s">
        <v>904</v>
      </c>
      <c r="B449" s="391">
        <v>903</v>
      </c>
      <c r="C449" s="395" t="s">
        <v>244</v>
      </c>
      <c r="D449" s="395" t="s">
        <v>215</v>
      </c>
      <c r="E449" s="395" t="s">
        <v>903</v>
      </c>
      <c r="F449" s="395"/>
      <c r="G449" s="393">
        <f t="shared" si="39"/>
        <v>294.61</v>
      </c>
      <c r="H449" s="393">
        <f t="shared" si="39"/>
        <v>289.11</v>
      </c>
      <c r="I449" s="192"/>
    </row>
    <row r="450" spans="1:13" ht="31.5" x14ac:dyDescent="0.25">
      <c r="A450" s="396" t="s">
        <v>823</v>
      </c>
      <c r="B450" s="390">
        <v>903</v>
      </c>
      <c r="C450" s="392" t="s">
        <v>244</v>
      </c>
      <c r="D450" s="392" t="s">
        <v>215</v>
      </c>
      <c r="E450" s="392" t="s">
        <v>905</v>
      </c>
      <c r="F450" s="392"/>
      <c r="G450" s="397">
        <f t="shared" si="39"/>
        <v>294.61</v>
      </c>
      <c r="H450" s="397">
        <f t="shared" si="39"/>
        <v>289.11</v>
      </c>
      <c r="I450" s="192"/>
    </row>
    <row r="451" spans="1:13" ht="21.2" customHeight="1" x14ac:dyDescent="0.25">
      <c r="A451" s="396" t="s">
        <v>248</v>
      </c>
      <c r="B451" s="390">
        <v>903</v>
      </c>
      <c r="C451" s="392" t="s">
        <v>244</v>
      </c>
      <c r="D451" s="392" t="s">
        <v>215</v>
      </c>
      <c r="E451" s="392" t="s">
        <v>905</v>
      </c>
      <c r="F451" s="392" t="s">
        <v>249</v>
      </c>
      <c r="G451" s="397">
        <f>G452</f>
        <v>294.61</v>
      </c>
      <c r="H451" s="397">
        <f t="shared" si="39"/>
        <v>289.11</v>
      </c>
      <c r="I451" s="192"/>
    </row>
    <row r="452" spans="1:13" ht="31.5" x14ac:dyDescent="0.25">
      <c r="A452" s="396" t="s">
        <v>250</v>
      </c>
      <c r="B452" s="390">
        <v>903</v>
      </c>
      <c r="C452" s="392" t="s">
        <v>244</v>
      </c>
      <c r="D452" s="392" t="s">
        <v>215</v>
      </c>
      <c r="E452" s="392" t="s">
        <v>905</v>
      </c>
      <c r="F452" s="392" t="s">
        <v>251</v>
      </c>
      <c r="G452" s="397">
        <f>267.8+26.81</f>
        <v>294.61</v>
      </c>
      <c r="H452" s="397">
        <f>262.8+26.31</f>
        <v>289.11</v>
      </c>
      <c r="I452" s="192"/>
      <c r="L452" s="387">
        <v>26.81</v>
      </c>
      <c r="M452" s="387">
        <v>26.31</v>
      </c>
    </row>
    <row r="453" spans="1:13" ht="31.5" x14ac:dyDescent="0.25">
      <c r="A453" s="394" t="s">
        <v>355</v>
      </c>
      <c r="B453" s="391">
        <v>903</v>
      </c>
      <c r="C453" s="391">
        <v>10</v>
      </c>
      <c r="D453" s="395" t="s">
        <v>215</v>
      </c>
      <c r="E453" s="395" t="s">
        <v>362</v>
      </c>
      <c r="F453" s="395"/>
      <c r="G453" s="393">
        <f>G455+G458+G464</f>
        <v>1707</v>
      </c>
      <c r="H453" s="393">
        <f>H455+H458+H464</f>
        <v>1737</v>
      </c>
      <c r="I453" s="192"/>
    </row>
    <row r="454" spans="1:13" ht="31.5" x14ac:dyDescent="0.25">
      <c r="A454" s="394" t="s">
        <v>1038</v>
      </c>
      <c r="B454" s="391">
        <v>903</v>
      </c>
      <c r="C454" s="391">
        <v>10</v>
      </c>
      <c r="D454" s="395" t="s">
        <v>215</v>
      </c>
      <c r="E454" s="395" t="s">
        <v>912</v>
      </c>
      <c r="F454" s="395"/>
      <c r="G454" s="393">
        <f t="shared" ref="G454:H456" si="40">G455</f>
        <v>630</v>
      </c>
      <c r="H454" s="393">
        <f t="shared" si="40"/>
        <v>630</v>
      </c>
      <c r="I454" s="192"/>
    </row>
    <row r="455" spans="1:13" ht="47.25" x14ac:dyDescent="0.25">
      <c r="A455" s="98" t="s">
        <v>1039</v>
      </c>
      <c r="B455" s="390">
        <v>903</v>
      </c>
      <c r="C455" s="392" t="s">
        <v>244</v>
      </c>
      <c r="D455" s="392" t="s">
        <v>215</v>
      </c>
      <c r="E455" s="392" t="s">
        <v>1222</v>
      </c>
      <c r="F455" s="392"/>
      <c r="G455" s="397">
        <f t="shared" si="40"/>
        <v>630</v>
      </c>
      <c r="H455" s="397">
        <f t="shared" si="40"/>
        <v>630</v>
      </c>
      <c r="I455" s="192"/>
    </row>
    <row r="456" spans="1:13" ht="22.7" customHeight="1" x14ac:dyDescent="0.25">
      <c r="A456" s="396" t="s">
        <v>248</v>
      </c>
      <c r="B456" s="390">
        <v>903</v>
      </c>
      <c r="C456" s="392" t="s">
        <v>244</v>
      </c>
      <c r="D456" s="392" t="s">
        <v>215</v>
      </c>
      <c r="E456" s="392" t="s">
        <v>1222</v>
      </c>
      <c r="F456" s="392" t="s">
        <v>249</v>
      </c>
      <c r="G456" s="397">
        <f t="shared" si="40"/>
        <v>630</v>
      </c>
      <c r="H456" s="397">
        <f t="shared" si="40"/>
        <v>630</v>
      </c>
      <c r="I456" s="192"/>
    </row>
    <row r="457" spans="1:13" ht="31.5" x14ac:dyDescent="0.25">
      <c r="A457" s="396" t="s">
        <v>348</v>
      </c>
      <c r="B457" s="390">
        <v>903</v>
      </c>
      <c r="C457" s="392" t="s">
        <v>244</v>
      </c>
      <c r="D457" s="392" t="s">
        <v>215</v>
      </c>
      <c r="E457" s="392" t="s">
        <v>1222</v>
      </c>
      <c r="F457" s="392" t="s">
        <v>349</v>
      </c>
      <c r="G457" s="397">
        <v>630</v>
      </c>
      <c r="H457" s="397">
        <f t="shared" si="37"/>
        <v>630</v>
      </c>
      <c r="I457" s="192"/>
    </row>
    <row r="458" spans="1:13" ht="31.5" x14ac:dyDescent="0.25">
      <c r="A458" s="394" t="s">
        <v>1226</v>
      </c>
      <c r="B458" s="391">
        <v>903</v>
      </c>
      <c r="C458" s="391">
        <v>10</v>
      </c>
      <c r="D458" s="395" t="s">
        <v>215</v>
      </c>
      <c r="E458" s="395" t="s">
        <v>1224</v>
      </c>
      <c r="F458" s="395"/>
      <c r="G458" s="393">
        <f>G459+G462</f>
        <v>657</v>
      </c>
      <c r="H458" s="393">
        <f>H459+H462</f>
        <v>657</v>
      </c>
      <c r="I458" s="192"/>
    </row>
    <row r="459" spans="1:13" ht="31.5" x14ac:dyDescent="0.25">
      <c r="A459" s="396" t="s">
        <v>1223</v>
      </c>
      <c r="B459" s="390">
        <v>903</v>
      </c>
      <c r="C459" s="392" t="s">
        <v>244</v>
      </c>
      <c r="D459" s="392" t="s">
        <v>215</v>
      </c>
      <c r="E459" s="392" t="s">
        <v>1225</v>
      </c>
      <c r="F459" s="392"/>
      <c r="G459" s="397">
        <f>G460</f>
        <v>400</v>
      </c>
      <c r="H459" s="397">
        <f>H460</f>
        <v>400</v>
      </c>
      <c r="I459" s="192"/>
    </row>
    <row r="460" spans="1:13" ht="31.5" x14ac:dyDescent="0.25">
      <c r="A460" s="396" t="s">
        <v>131</v>
      </c>
      <c r="B460" s="390">
        <v>903</v>
      </c>
      <c r="C460" s="392" t="s">
        <v>244</v>
      </c>
      <c r="D460" s="392" t="s">
        <v>215</v>
      </c>
      <c r="E460" s="392" t="s">
        <v>1225</v>
      </c>
      <c r="F460" s="392" t="s">
        <v>132</v>
      </c>
      <c r="G460" s="397">
        <f>G461</f>
        <v>400</v>
      </c>
      <c r="H460" s="397">
        <f>H461</f>
        <v>400</v>
      </c>
      <c r="I460" s="192"/>
    </row>
    <row r="461" spans="1:13" ht="47.25" x14ac:dyDescent="0.25">
      <c r="A461" s="396" t="s">
        <v>133</v>
      </c>
      <c r="B461" s="390">
        <v>903</v>
      </c>
      <c r="C461" s="392" t="s">
        <v>244</v>
      </c>
      <c r="D461" s="392" t="s">
        <v>215</v>
      </c>
      <c r="E461" s="392" t="s">
        <v>1225</v>
      </c>
      <c r="F461" s="392" t="s">
        <v>134</v>
      </c>
      <c r="G461" s="397">
        <v>400</v>
      </c>
      <c r="H461" s="397">
        <f t="shared" si="37"/>
        <v>400</v>
      </c>
      <c r="I461" s="192"/>
    </row>
    <row r="462" spans="1:13" ht="31.5" x14ac:dyDescent="0.25">
      <c r="A462" s="396" t="s">
        <v>248</v>
      </c>
      <c r="B462" s="390">
        <v>903</v>
      </c>
      <c r="C462" s="392" t="s">
        <v>244</v>
      </c>
      <c r="D462" s="392" t="s">
        <v>215</v>
      </c>
      <c r="E462" s="392" t="s">
        <v>1225</v>
      </c>
      <c r="F462" s="392" t="s">
        <v>249</v>
      </c>
      <c r="G462" s="397">
        <f>G463</f>
        <v>257</v>
      </c>
      <c r="H462" s="397">
        <f>H463</f>
        <v>257</v>
      </c>
      <c r="I462" s="192"/>
    </row>
    <row r="463" spans="1:13" ht="31.5" x14ac:dyDescent="0.25">
      <c r="A463" s="396" t="s">
        <v>348</v>
      </c>
      <c r="B463" s="390">
        <v>903</v>
      </c>
      <c r="C463" s="392" t="s">
        <v>244</v>
      </c>
      <c r="D463" s="392" t="s">
        <v>215</v>
      </c>
      <c r="E463" s="392" t="s">
        <v>1225</v>
      </c>
      <c r="F463" s="392" t="s">
        <v>349</v>
      </c>
      <c r="G463" s="397">
        <v>257</v>
      </c>
      <c r="H463" s="397">
        <f t="shared" si="37"/>
        <v>257</v>
      </c>
      <c r="I463" s="192"/>
    </row>
    <row r="464" spans="1:13" ht="31.5" x14ac:dyDescent="0.25">
      <c r="A464" s="394" t="s">
        <v>996</v>
      </c>
      <c r="B464" s="391">
        <v>903</v>
      </c>
      <c r="C464" s="391">
        <v>10</v>
      </c>
      <c r="D464" s="395" t="s">
        <v>215</v>
      </c>
      <c r="E464" s="395" t="s">
        <v>1219</v>
      </c>
      <c r="F464" s="395"/>
      <c r="G464" s="393">
        <f>G465</f>
        <v>420</v>
      </c>
      <c r="H464" s="393">
        <f t="shared" ref="H464:H466" si="41">H465</f>
        <v>450</v>
      </c>
      <c r="I464" s="192"/>
    </row>
    <row r="465" spans="1:9" ht="15.75" x14ac:dyDescent="0.25">
      <c r="A465" s="396" t="s">
        <v>1036</v>
      </c>
      <c r="B465" s="390">
        <v>903</v>
      </c>
      <c r="C465" s="392" t="s">
        <v>244</v>
      </c>
      <c r="D465" s="392" t="s">
        <v>215</v>
      </c>
      <c r="E465" s="392" t="s">
        <v>1221</v>
      </c>
      <c r="F465" s="392"/>
      <c r="G465" s="397">
        <f>G466</f>
        <v>420</v>
      </c>
      <c r="H465" s="397">
        <f t="shared" si="41"/>
        <v>450</v>
      </c>
      <c r="I465" s="192"/>
    </row>
    <row r="466" spans="1:9" ht="17.45" customHeight="1" x14ac:dyDescent="0.25">
      <c r="A466" s="396" t="s">
        <v>248</v>
      </c>
      <c r="B466" s="390">
        <v>903</v>
      </c>
      <c r="C466" s="392" t="s">
        <v>244</v>
      </c>
      <c r="D466" s="392" t="s">
        <v>215</v>
      </c>
      <c r="E466" s="392" t="s">
        <v>1221</v>
      </c>
      <c r="F466" s="392" t="s">
        <v>249</v>
      </c>
      <c r="G466" s="397">
        <f>G467</f>
        <v>420</v>
      </c>
      <c r="H466" s="397">
        <f t="shared" si="41"/>
        <v>450</v>
      </c>
      <c r="I466" s="192"/>
    </row>
    <row r="467" spans="1:9" ht="31.5" x14ac:dyDescent="0.25">
      <c r="A467" s="396" t="s">
        <v>348</v>
      </c>
      <c r="B467" s="390">
        <v>903</v>
      </c>
      <c r="C467" s="392" t="s">
        <v>244</v>
      </c>
      <c r="D467" s="392" t="s">
        <v>215</v>
      </c>
      <c r="E467" s="392" t="s">
        <v>1221</v>
      </c>
      <c r="F467" s="392" t="s">
        <v>349</v>
      </c>
      <c r="G467" s="397">
        <v>420</v>
      </c>
      <c r="H467" s="397">
        <v>450</v>
      </c>
      <c r="I467" s="192"/>
    </row>
    <row r="468" spans="1:9" ht="15.75" x14ac:dyDescent="0.25">
      <c r="A468" s="394" t="s">
        <v>582</v>
      </c>
      <c r="B468" s="391">
        <v>903</v>
      </c>
      <c r="C468" s="395" t="s">
        <v>238</v>
      </c>
      <c r="D468" s="392"/>
      <c r="E468" s="392"/>
      <c r="F468" s="392"/>
      <c r="G468" s="393">
        <f>G469</f>
        <v>5873.2</v>
      </c>
      <c r="H468" s="393">
        <f>H469</f>
        <v>5876.2</v>
      </c>
      <c r="I468" s="192"/>
    </row>
    <row r="469" spans="1:9" ht="15.75" x14ac:dyDescent="0.25">
      <c r="A469" s="394" t="s">
        <v>583</v>
      </c>
      <c r="B469" s="391">
        <v>903</v>
      </c>
      <c r="C469" s="395" t="s">
        <v>238</v>
      </c>
      <c r="D469" s="395" t="s">
        <v>213</v>
      </c>
      <c r="E469" s="395"/>
      <c r="F469" s="395"/>
      <c r="G469" s="393">
        <f>G470+G483</f>
        <v>5873.2</v>
      </c>
      <c r="H469" s="393">
        <f>H470+H483</f>
        <v>5876.2</v>
      </c>
      <c r="I469" s="192"/>
    </row>
    <row r="470" spans="1:9" ht="31.5" x14ac:dyDescent="0.25">
      <c r="A470" s="394" t="s">
        <v>1350</v>
      </c>
      <c r="B470" s="391">
        <v>903</v>
      </c>
      <c r="C470" s="395" t="s">
        <v>238</v>
      </c>
      <c r="D470" s="395" t="s">
        <v>213</v>
      </c>
      <c r="E470" s="395" t="s">
        <v>267</v>
      </c>
      <c r="F470" s="395"/>
      <c r="G470" s="393">
        <f>G471+G479</f>
        <v>5798.3</v>
      </c>
      <c r="H470" s="393">
        <f>H471+H479</f>
        <v>5798.3</v>
      </c>
      <c r="I470" s="192"/>
    </row>
    <row r="471" spans="1:9" ht="31.5" x14ac:dyDescent="0.25">
      <c r="A471" s="394" t="s">
        <v>1298</v>
      </c>
      <c r="B471" s="391">
        <v>903</v>
      </c>
      <c r="C471" s="395" t="s">
        <v>238</v>
      </c>
      <c r="D471" s="395" t="s">
        <v>213</v>
      </c>
      <c r="E471" s="395" t="s">
        <v>1201</v>
      </c>
      <c r="F471" s="395"/>
      <c r="G471" s="393">
        <f>G472</f>
        <v>5522.3</v>
      </c>
      <c r="H471" s="393">
        <f>H472</f>
        <v>5522.3</v>
      </c>
      <c r="I471" s="192"/>
    </row>
    <row r="472" spans="1:9" ht="15.75" x14ac:dyDescent="0.25">
      <c r="A472" s="396" t="s">
        <v>801</v>
      </c>
      <c r="B472" s="390">
        <v>903</v>
      </c>
      <c r="C472" s="392" t="s">
        <v>238</v>
      </c>
      <c r="D472" s="392" t="s">
        <v>213</v>
      </c>
      <c r="E472" s="392" t="s">
        <v>1202</v>
      </c>
      <c r="F472" s="392"/>
      <c r="G472" s="397">
        <f>G473+G475+G477</f>
        <v>5522.3</v>
      </c>
      <c r="H472" s="397">
        <f>H473+H475+H477</f>
        <v>5522.3</v>
      </c>
      <c r="I472" s="192"/>
    </row>
    <row r="473" spans="1:9" ht="78.75" x14ac:dyDescent="0.25">
      <c r="A473" s="396" t="s">
        <v>127</v>
      </c>
      <c r="B473" s="390">
        <v>903</v>
      </c>
      <c r="C473" s="392" t="s">
        <v>238</v>
      </c>
      <c r="D473" s="392" t="s">
        <v>213</v>
      </c>
      <c r="E473" s="392" t="s">
        <v>1202</v>
      </c>
      <c r="F473" s="392" t="s">
        <v>128</v>
      </c>
      <c r="G473" s="397">
        <f>G474</f>
        <v>4897.2</v>
      </c>
      <c r="H473" s="397">
        <f>H474</f>
        <v>4897.2</v>
      </c>
      <c r="I473" s="192"/>
    </row>
    <row r="474" spans="1:9" ht="31.5" x14ac:dyDescent="0.25">
      <c r="A474" s="396" t="s">
        <v>208</v>
      </c>
      <c r="B474" s="390">
        <v>903</v>
      </c>
      <c r="C474" s="392" t="s">
        <v>238</v>
      </c>
      <c r="D474" s="392" t="s">
        <v>213</v>
      </c>
      <c r="E474" s="392" t="s">
        <v>1202</v>
      </c>
      <c r="F474" s="392" t="s">
        <v>209</v>
      </c>
      <c r="G474" s="27">
        <v>4897.2</v>
      </c>
      <c r="H474" s="27">
        <f>G474</f>
        <v>4897.2</v>
      </c>
      <c r="I474" s="192"/>
    </row>
    <row r="475" spans="1:9" ht="31.5" x14ac:dyDescent="0.25">
      <c r="A475" s="396" t="s">
        <v>131</v>
      </c>
      <c r="B475" s="390">
        <v>903</v>
      </c>
      <c r="C475" s="392" t="s">
        <v>238</v>
      </c>
      <c r="D475" s="392" t="s">
        <v>213</v>
      </c>
      <c r="E475" s="392" t="s">
        <v>1202</v>
      </c>
      <c r="F475" s="392" t="s">
        <v>132</v>
      </c>
      <c r="G475" s="397">
        <f>G476</f>
        <v>595.1</v>
      </c>
      <c r="H475" s="397">
        <f>H476</f>
        <v>595.1</v>
      </c>
      <c r="I475" s="192"/>
    </row>
    <row r="476" spans="1:9" ht="33.4" customHeight="1" x14ac:dyDescent="0.25">
      <c r="A476" s="396" t="s">
        <v>133</v>
      </c>
      <c r="B476" s="390">
        <v>903</v>
      </c>
      <c r="C476" s="392" t="s">
        <v>238</v>
      </c>
      <c r="D476" s="392" t="s">
        <v>213</v>
      </c>
      <c r="E476" s="392" t="s">
        <v>1202</v>
      </c>
      <c r="F476" s="392" t="s">
        <v>134</v>
      </c>
      <c r="G476" s="27">
        <v>595.1</v>
      </c>
      <c r="H476" s="27">
        <f>G476</f>
        <v>595.1</v>
      </c>
      <c r="I476" s="192"/>
    </row>
    <row r="477" spans="1:9" ht="15.75" x14ac:dyDescent="0.25">
      <c r="A477" s="396" t="s">
        <v>135</v>
      </c>
      <c r="B477" s="390">
        <v>903</v>
      </c>
      <c r="C477" s="392" t="s">
        <v>238</v>
      </c>
      <c r="D477" s="392" t="s">
        <v>213</v>
      </c>
      <c r="E477" s="392" t="s">
        <v>1202</v>
      </c>
      <c r="F477" s="392" t="s">
        <v>145</v>
      </c>
      <c r="G477" s="397">
        <f>G478</f>
        <v>30</v>
      </c>
      <c r="H477" s="397">
        <f>H478</f>
        <v>30</v>
      </c>
      <c r="I477" s="192"/>
    </row>
    <row r="478" spans="1:9" ht="15.75" x14ac:dyDescent="0.25">
      <c r="A478" s="396" t="s">
        <v>568</v>
      </c>
      <c r="B478" s="390">
        <v>903</v>
      </c>
      <c r="C478" s="392" t="s">
        <v>238</v>
      </c>
      <c r="D478" s="392" t="s">
        <v>213</v>
      </c>
      <c r="E478" s="392" t="s">
        <v>1202</v>
      </c>
      <c r="F478" s="392" t="s">
        <v>138</v>
      </c>
      <c r="G478" s="397">
        <v>30</v>
      </c>
      <c r="H478" s="397">
        <f>G478</f>
        <v>30</v>
      </c>
      <c r="I478" s="192"/>
    </row>
    <row r="479" spans="1:9" ht="31.5" x14ac:dyDescent="0.25">
      <c r="A479" s="394" t="s">
        <v>946</v>
      </c>
      <c r="B479" s="391">
        <v>903</v>
      </c>
      <c r="C479" s="395" t="s">
        <v>238</v>
      </c>
      <c r="D479" s="395" t="s">
        <v>213</v>
      </c>
      <c r="E479" s="395" t="s">
        <v>1206</v>
      </c>
      <c r="F479" s="395"/>
      <c r="G479" s="393">
        <f t="shared" ref="G479:H481" si="42">G480</f>
        <v>276</v>
      </c>
      <c r="H479" s="393">
        <f t="shared" si="42"/>
        <v>276</v>
      </c>
      <c r="I479" s="192"/>
    </row>
    <row r="480" spans="1:9" ht="47.25" x14ac:dyDescent="0.25">
      <c r="A480" s="396" t="s">
        <v>838</v>
      </c>
      <c r="B480" s="390">
        <v>903</v>
      </c>
      <c r="C480" s="392" t="s">
        <v>238</v>
      </c>
      <c r="D480" s="392" t="s">
        <v>213</v>
      </c>
      <c r="E480" s="392" t="s">
        <v>1207</v>
      </c>
      <c r="F480" s="392"/>
      <c r="G480" s="397">
        <f t="shared" si="42"/>
        <v>276</v>
      </c>
      <c r="H480" s="397">
        <f t="shared" si="42"/>
        <v>276</v>
      </c>
      <c r="I480" s="192"/>
    </row>
    <row r="481" spans="1:9" ht="78.75" x14ac:dyDescent="0.25">
      <c r="A481" s="396" t="s">
        <v>127</v>
      </c>
      <c r="B481" s="390">
        <v>903</v>
      </c>
      <c r="C481" s="392" t="s">
        <v>238</v>
      </c>
      <c r="D481" s="392" t="s">
        <v>213</v>
      </c>
      <c r="E481" s="392" t="s">
        <v>1207</v>
      </c>
      <c r="F481" s="392" t="s">
        <v>128</v>
      </c>
      <c r="G481" s="397">
        <f t="shared" si="42"/>
        <v>276</v>
      </c>
      <c r="H481" s="397">
        <f t="shared" si="42"/>
        <v>276</v>
      </c>
      <c r="I481" s="192"/>
    </row>
    <row r="482" spans="1:9" ht="31.5" x14ac:dyDescent="0.25">
      <c r="A482" s="396" t="s">
        <v>208</v>
      </c>
      <c r="B482" s="390">
        <v>903</v>
      </c>
      <c r="C482" s="392" t="s">
        <v>238</v>
      </c>
      <c r="D482" s="392" t="s">
        <v>213</v>
      </c>
      <c r="E482" s="392" t="s">
        <v>1207</v>
      </c>
      <c r="F482" s="392" t="s">
        <v>209</v>
      </c>
      <c r="G482" s="397">
        <v>276</v>
      </c>
      <c r="H482" s="397">
        <f>G482</f>
        <v>276</v>
      </c>
      <c r="I482" s="192"/>
    </row>
    <row r="483" spans="1:9" ht="47.25" x14ac:dyDescent="0.25">
      <c r="A483" s="400" t="s">
        <v>1351</v>
      </c>
      <c r="B483" s="391">
        <v>903</v>
      </c>
      <c r="C483" s="395" t="s">
        <v>238</v>
      </c>
      <c r="D483" s="395" t="s">
        <v>213</v>
      </c>
      <c r="E483" s="395" t="s">
        <v>705</v>
      </c>
      <c r="F483" s="403"/>
      <c r="G483" s="393">
        <f>G485</f>
        <v>74.900000000000006</v>
      </c>
      <c r="H483" s="393">
        <f>H485</f>
        <v>77.900000000000006</v>
      </c>
      <c r="I483" s="192"/>
    </row>
    <row r="484" spans="1:9" ht="47.25" x14ac:dyDescent="0.25">
      <c r="A484" s="400" t="s">
        <v>889</v>
      </c>
      <c r="B484" s="391">
        <v>903</v>
      </c>
      <c r="C484" s="395" t="s">
        <v>238</v>
      </c>
      <c r="D484" s="395" t="s">
        <v>213</v>
      </c>
      <c r="E484" s="395" t="s">
        <v>887</v>
      </c>
      <c r="F484" s="403"/>
      <c r="G484" s="393">
        <f t="shared" ref="G484:H486" si="43">G485</f>
        <v>74.900000000000006</v>
      </c>
      <c r="H484" s="393">
        <f t="shared" si="43"/>
        <v>77.900000000000006</v>
      </c>
      <c r="I484" s="192"/>
    </row>
    <row r="485" spans="1:9" ht="29.25" customHeight="1" x14ac:dyDescent="0.25">
      <c r="A485" s="98" t="s">
        <v>1003</v>
      </c>
      <c r="B485" s="390">
        <v>903</v>
      </c>
      <c r="C485" s="392" t="s">
        <v>238</v>
      </c>
      <c r="D485" s="392" t="s">
        <v>213</v>
      </c>
      <c r="E485" s="392" t="s">
        <v>888</v>
      </c>
      <c r="F485" s="398"/>
      <c r="G485" s="397">
        <f t="shared" si="43"/>
        <v>74.900000000000006</v>
      </c>
      <c r="H485" s="397">
        <f t="shared" si="43"/>
        <v>77.900000000000006</v>
      </c>
      <c r="I485" s="192"/>
    </row>
    <row r="486" spans="1:9" ht="31.5" x14ac:dyDescent="0.25">
      <c r="A486" s="396" t="s">
        <v>131</v>
      </c>
      <c r="B486" s="390">
        <v>903</v>
      </c>
      <c r="C486" s="392" t="s">
        <v>238</v>
      </c>
      <c r="D486" s="392" t="s">
        <v>213</v>
      </c>
      <c r="E486" s="392" t="s">
        <v>888</v>
      </c>
      <c r="F486" s="398" t="s">
        <v>132</v>
      </c>
      <c r="G486" s="397">
        <f t="shared" si="43"/>
        <v>74.900000000000006</v>
      </c>
      <c r="H486" s="397">
        <f t="shared" si="43"/>
        <v>77.900000000000006</v>
      </c>
      <c r="I486" s="192"/>
    </row>
    <row r="487" spans="1:9" ht="30.6" customHeight="1" x14ac:dyDescent="0.25">
      <c r="A487" s="396" t="s">
        <v>133</v>
      </c>
      <c r="B487" s="390">
        <v>903</v>
      </c>
      <c r="C487" s="392" t="s">
        <v>238</v>
      </c>
      <c r="D487" s="392" t="s">
        <v>213</v>
      </c>
      <c r="E487" s="392" t="s">
        <v>888</v>
      </c>
      <c r="F487" s="398" t="s">
        <v>134</v>
      </c>
      <c r="G487" s="397">
        <v>74.900000000000006</v>
      </c>
      <c r="H487" s="397">
        <v>77.900000000000006</v>
      </c>
      <c r="I487" s="192"/>
    </row>
    <row r="488" spans="1:9" ht="47.25" x14ac:dyDescent="0.25">
      <c r="A488" s="391" t="s">
        <v>387</v>
      </c>
      <c r="B488" s="391">
        <v>905</v>
      </c>
      <c r="C488" s="392"/>
      <c r="D488" s="392"/>
      <c r="E488" s="392"/>
      <c r="F488" s="392"/>
      <c r="G488" s="393">
        <f>G489+G521+G531</f>
        <v>20108.5</v>
      </c>
      <c r="H488" s="393">
        <f>H489+H521+H531</f>
        <v>28442.600000000002</v>
      </c>
      <c r="I488" s="192"/>
    </row>
    <row r="489" spans="1:9" ht="15.75" x14ac:dyDescent="0.25">
      <c r="A489" s="394" t="s">
        <v>117</v>
      </c>
      <c r="B489" s="391">
        <v>905</v>
      </c>
      <c r="C489" s="395" t="s">
        <v>118</v>
      </c>
      <c r="D489" s="392"/>
      <c r="E489" s="392"/>
      <c r="F489" s="392"/>
      <c r="G489" s="393">
        <f>G490+G507</f>
        <v>17369</v>
      </c>
      <c r="H489" s="393">
        <f>H490+H507</f>
        <v>17369</v>
      </c>
      <c r="I489" s="192"/>
    </row>
    <row r="490" spans="1:9" ht="63" x14ac:dyDescent="0.25">
      <c r="A490" s="394" t="s">
        <v>149</v>
      </c>
      <c r="B490" s="391">
        <v>905</v>
      </c>
      <c r="C490" s="395" t="s">
        <v>118</v>
      </c>
      <c r="D490" s="395" t="s">
        <v>150</v>
      </c>
      <c r="E490" s="395"/>
      <c r="F490" s="395"/>
      <c r="G490" s="393">
        <f>G491</f>
        <v>12166.9</v>
      </c>
      <c r="H490" s="393">
        <f>H491</f>
        <v>12166.9</v>
      </c>
      <c r="I490" s="192"/>
    </row>
    <row r="491" spans="1:9" ht="31.5" x14ac:dyDescent="0.25">
      <c r="A491" s="394" t="s">
        <v>916</v>
      </c>
      <c r="B491" s="391">
        <v>905</v>
      </c>
      <c r="C491" s="395" t="s">
        <v>118</v>
      </c>
      <c r="D491" s="395" t="s">
        <v>150</v>
      </c>
      <c r="E491" s="395" t="s">
        <v>857</v>
      </c>
      <c r="F491" s="395"/>
      <c r="G491" s="393">
        <f>G492+G503</f>
        <v>12166.9</v>
      </c>
      <c r="H491" s="393">
        <f>H492+H503</f>
        <v>12166.9</v>
      </c>
      <c r="I491" s="192"/>
    </row>
    <row r="492" spans="1:9" ht="15.75" x14ac:dyDescent="0.25">
      <c r="A492" s="394" t="s">
        <v>917</v>
      </c>
      <c r="B492" s="391">
        <v>905</v>
      </c>
      <c r="C492" s="395" t="s">
        <v>118</v>
      </c>
      <c r="D492" s="395" t="s">
        <v>150</v>
      </c>
      <c r="E492" s="395" t="s">
        <v>858</v>
      </c>
      <c r="F492" s="395"/>
      <c r="G492" s="393">
        <f>G493+G500</f>
        <v>12144.6</v>
      </c>
      <c r="H492" s="393">
        <f>H493+H500</f>
        <v>12144.6</v>
      </c>
      <c r="I492" s="192"/>
    </row>
    <row r="493" spans="1:9" ht="31.5" x14ac:dyDescent="0.25">
      <c r="A493" s="396" t="s">
        <v>896</v>
      </c>
      <c r="B493" s="390">
        <v>905</v>
      </c>
      <c r="C493" s="392" t="s">
        <v>118</v>
      </c>
      <c r="D493" s="392" t="s">
        <v>150</v>
      </c>
      <c r="E493" s="392" t="s">
        <v>859</v>
      </c>
      <c r="F493" s="392"/>
      <c r="G493" s="397">
        <f>G494+G496+G498</f>
        <v>11682.6</v>
      </c>
      <c r="H493" s="397">
        <f>H494+H496+H498</f>
        <v>11682.6</v>
      </c>
      <c r="I493" s="192"/>
    </row>
    <row r="494" spans="1:9" ht="78.75" x14ac:dyDescent="0.25">
      <c r="A494" s="396" t="s">
        <v>127</v>
      </c>
      <c r="B494" s="390">
        <v>905</v>
      </c>
      <c r="C494" s="392" t="s">
        <v>118</v>
      </c>
      <c r="D494" s="392" t="s">
        <v>150</v>
      </c>
      <c r="E494" s="392" t="s">
        <v>859</v>
      </c>
      <c r="F494" s="392" t="s">
        <v>128</v>
      </c>
      <c r="G494" s="397">
        <f>G495</f>
        <v>11111.6</v>
      </c>
      <c r="H494" s="397">
        <f>H495</f>
        <v>11111.6</v>
      </c>
      <c r="I494" s="192"/>
    </row>
    <row r="495" spans="1:9" ht="31.5" x14ac:dyDescent="0.25">
      <c r="A495" s="396" t="s">
        <v>129</v>
      </c>
      <c r="B495" s="390">
        <v>905</v>
      </c>
      <c r="C495" s="392" t="s">
        <v>118</v>
      </c>
      <c r="D495" s="392" t="s">
        <v>150</v>
      </c>
      <c r="E495" s="392" t="s">
        <v>859</v>
      </c>
      <c r="F495" s="392" t="s">
        <v>130</v>
      </c>
      <c r="G495" s="397">
        <v>11111.6</v>
      </c>
      <c r="H495" s="397">
        <f t="shared" si="37"/>
        <v>11111.6</v>
      </c>
      <c r="I495" s="192"/>
    </row>
    <row r="496" spans="1:9" ht="31.5" x14ac:dyDescent="0.25">
      <c r="A496" s="396" t="s">
        <v>131</v>
      </c>
      <c r="B496" s="390">
        <v>905</v>
      </c>
      <c r="C496" s="392" t="s">
        <v>118</v>
      </c>
      <c r="D496" s="392" t="s">
        <v>150</v>
      </c>
      <c r="E496" s="392" t="s">
        <v>859</v>
      </c>
      <c r="F496" s="392" t="s">
        <v>132</v>
      </c>
      <c r="G496" s="397">
        <f>G497</f>
        <v>440</v>
      </c>
      <c r="H496" s="397">
        <f>H497</f>
        <v>440</v>
      </c>
      <c r="I496" s="192"/>
    </row>
    <row r="497" spans="1:9" ht="47.25" x14ac:dyDescent="0.25">
      <c r="A497" s="396" t="s">
        <v>133</v>
      </c>
      <c r="B497" s="390">
        <v>905</v>
      </c>
      <c r="C497" s="392" t="s">
        <v>118</v>
      </c>
      <c r="D497" s="392" t="s">
        <v>150</v>
      </c>
      <c r="E497" s="392" t="s">
        <v>859</v>
      </c>
      <c r="F497" s="392" t="s">
        <v>134</v>
      </c>
      <c r="G497" s="397">
        <f>440</f>
        <v>440</v>
      </c>
      <c r="H497" s="397">
        <f t="shared" si="37"/>
        <v>440</v>
      </c>
      <c r="I497" s="192"/>
    </row>
    <row r="498" spans="1:9" ht="15.75" x14ac:dyDescent="0.25">
      <c r="A498" s="396" t="s">
        <v>135</v>
      </c>
      <c r="B498" s="390">
        <v>905</v>
      </c>
      <c r="C498" s="392" t="s">
        <v>118</v>
      </c>
      <c r="D498" s="392" t="s">
        <v>150</v>
      </c>
      <c r="E498" s="392" t="s">
        <v>859</v>
      </c>
      <c r="F498" s="392" t="s">
        <v>145</v>
      </c>
      <c r="G498" s="397">
        <f>G499</f>
        <v>131</v>
      </c>
      <c r="H498" s="397">
        <f>H499</f>
        <v>131</v>
      </c>
      <c r="I498" s="192"/>
    </row>
    <row r="499" spans="1:9" ht="15.75" x14ac:dyDescent="0.25">
      <c r="A499" s="396" t="s">
        <v>568</v>
      </c>
      <c r="B499" s="390">
        <v>905</v>
      </c>
      <c r="C499" s="392" t="s">
        <v>118</v>
      </c>
      <c r="D499" s="392" t="s">
        <v>150</v>
      </c>
      <c r="E499" s="392" t="s">
        <v>859</v>
      </c>
      <c r="F499" s="392" t="s">
        <v>138</v>
      </c>
      <c r="G499" s="397">
        <f>131</f>
        <v>131</v>
      </c>
      <c r="H499" s="397">
        <f t="shared" si="37"/>
        <v>131</v>
      </c>
      <c r="I499" s="192"/>
    </row>
    <row r="500" spans="1:9" ht="47.25" x14ac:dyDescent="0.25">
      <c r="A500" s="396" t="s">
        <v>838</v>
      </c>
      <c r="B500" s="390">
        <v>905</v>
      </c>
      <c r="C500" s="392" t="s">
        <v>118</v>
      </c>
      <c r="D500" s="392" t="s">
        <v>150</v>
      </c>
      <c r="E500" s="392" t="s">
        <v>861</v>
      </c>
      <c r="F500" s="392"/>
      <c r="G500" s="397">
        <f>G501</f>
        <v>462</v>
      </c>
      <c r="H500" s="397">
        <f>H501</f>
        <v>462</v>
      </c>
      <c r="I500" s="192"/>
    </row>
    <row r="501" spans="1:9" ht="78.75" x14ac:dyDescent="0.25">
      <c r="A501" s="396" t="s">
        <v>127</v>
      </c>
      <c r="B501" s="390">
        <v>905</v>
      </c>
      <c r="C501" s="392" t="s">
        <v>118</v>
      </c>
      <c r="D501" s="392" t="s">
        <v>150</v>
      </c>
      <c r="E501" s="392" t="s">
        <v>861</v>
      </c>
      <c r="F501" s="392" t="s">
        <v>128</v>
      </c>
      <c r="G501" s="397">
        <f>G502</f>
        <v>462</v>
      </c>
      <c r="H501" s="397">
        <f>H502</f>
        <v>462</v>
      </c>
      <c r="I501" s="192"/>
    </row>
    <row r="502" spans="1:9" ht="31.5" x14ac:dyDescent="0.25">
      <c r="A502" s="396" t="s">
        <v>129</v>
      </c>
      <c r="B502" s="390">
        <v>905</v>
      </c>
      <c r="C502" s="392" t="s">
        <v>118</v>
      </c>
      <c r="D502" s="392" t="s">
        <v>150</v>
      </c>
      <c r="E502" s="392" t="s">
        <v>861</v>
      </c>
      <c r="F502" s="392" t="s">
        <v>130</v>
      </c>
      <c r="G502" s="397">
        <v>462</v>
      </c>
      <c r="H502" s="397">
        <f t="shared" ref="H502:H569" si="44">G502</f>
        <v>462</v>
      </c>
      <c r="I502" s="192"/>
    </row>
    <row r="503" spans="1:9" ht="31.5" x14ac:dyDescent="0.25">
      <c r="A503" s="394" t="s">
        <v>884</v>
      </c>
      <c r="B503" s="391">
        <v>905</v>
      </c>
      <c r="C503" s="395" t="s">
        <v>118</v>
      </c>
      <c r="D503" s="395" t="s">
        <v>150</v>
      </c>
      <c r="E503" s="395" t="s">
        <v>862</v>
      </c>
      <c r="F503" s="395"/>
      <c r="G503" s="393">
        <f t="shared" ref="G503:H505" si="45">G504</f>
        <v>22.3</v>
      </c>
      <c r="H503" s="393">
        <f t="shared" si="45"/>
        <v>22.3</v>
      </c>
      <c r="I503" s="192"/>
    </row>
    <row r="504" spans="1:9" ht="94.5" x14ac:dyDescent="0.25">
      <c r="A504" s="31" t="s">
        <v>1167</v>
      </c>
      <c r="B504" s="390">
        <v>905</v>
      </c>
      <c r="C504" s="392" t="s">
        <v>118</v>
      </c>
      <c r="D504" s="392" t="s">
        <v>150</v>
      </c>
      <c r="E504" s="392" t="s">
        <v>1166</v>
      </c>
      <c r="F504" s="392"/>
      <c r="G504" s="397">
        <f t="shared" si="45"/>
        <v>22.3</v>
      </c>
      <c r="H504" s="397">
        <f t="shared" si="45"/>
        <v>22.3</v>
      </c>
      <c r="I504" s="192"/>
    </row>
    <row r="505" spans="1:9" ht="78.75" x14ac:dyDescent="0.25">
      <c r="A505" s="396" t="s">
        <v>127</v>
      </c>
      <c r="B505" s="390">
        <v>905</v>
      </c>
      <c r="C505" s="392" t="s">
        <v>118</v>
      </c>
      <c r="D505" s="392" t="s">
        <v>150</v>
      </c>
      <c r="E505" s="392" t="s">
        <v>1166</v>
      </c>
      <c r="F505" s="392" t="s">
        <v>128</v>
      </c>
      <c r="G505" s="397">
        <f>G506</f>
        <v>22.3</v>
      </c>
      <c r="H505" s="397">
        <f t="shared" si="45"/>
        <v>22.3</v>
      </c>
      <c r="I505" s="192"/>
    </row>
    <row r="506" spans="1:9" ht="31.5" x14ac:dyDescent="0.25">
      <c r="A506" s="396" t="s">
        <v>129</v>
      </c>
      <c r="B506" s="390">
        <v>905</v>
      </c>
      <c r="C506" s="392" t="s">
        <v>118</v>
      </c>
      <c r="D506" s="392" t="s">
        <v>150</v>
      </c>
      <c r="E506" s="392" t="s">
        <v>1166</v>
      </c>
      <c r="F506" s="392" t="s">
        <v>130</v>
      </c>
      <c r="G506" s="397">
        <v>22.3</v>
      </c>
      <c r="H506" s="397">
        <v>22.3</v>
      </c>
      <c r="I506" s="192"/>
    </row>
    <row r="507" spans="1:9" ht="15.75" x14ac:dyDescent="0.25">
      <c r="A507" s="394" t="s">
        <v>139</v>
      </c>
      <c r="B507" s="391">
        <v>905</v>
      </c>
      <c r="C507" s="395" t="s">
        <v>118</v>
      </c>
      <c r="D507" s="395" t="s">
        <v>140</v>
      </c>
      <c r="E507" s="395"/>
      <c r="F507" s="395"/>
      <c r="G507" s="393">
        <f>G508+G516</f>
        <v>5202.1000000000004</v>
      </c>
      <c r="H507" s="393">
        <f>H508+H516</f>
        <v>5202.1000000000004</v>
      </c>
      <c r="I507" s="192"/>
    </row>
    <row r="508" spans="1:9" ht="15.75" x14ac:dyDescent="0.25">
      <c r="A508" s="394" t="s">
        <v>141</v>
      </c>
      <c r="B508" s="391">
        <v>905</v>
      </c>
      <c r="C508" s="395" t="s">
        <v>118</v>
      </c>
      <c r="D508" s="395" t="s">
        <v>140</v>
      </c>
      <c r="E508" s="395" t="s">
        <v>865</v>
      </c>
      <c r="F508" s="395"/>
      <c r="G508" s="393">
        <f>G509</f>
        <v>5202.1000000000004</v>
      </c>
      <c r="H508" s="393">
        <f>H509</f>
        <v>5202.1000000000004</v>
      </c>
      <c r="I508" s="192"/>
    </row>
    <row r="509" spans="1:9" ht="31.5" x14ac:dyDescent="0.25">
      <c r="A509" s="394" t="s">
        <v>869</v>
      </c>
      <c r="B509" s="391">
        <v>905</v>
      </c>
      <c r="C509" s="395" t="s">
        <v>118</v>
      </c>
      <c r="D509" s="395" t="s">
        <v>140</v>
      </c>
      <c r="E509" s="395" t="s">
        <v>864</v>
      </c>
      <c r="F509" s="395"/>
      <c r="G509" s="393">
        <f>G510+G513</f>
        <v>5202.1000000000004</v>
      </c>
      <c r="H509" s="393">
        <f>H510+H513</f>
        <v>5202.1000000000004</v>
      </c>
      <c r="I509" s="192"/>
    </row>
    <row r="510" spans="1:9" ht="47.25" x14ac:dyDescent="0.25">
      <c r="A510" s="396" t="s">
        <v>388</v>
      </c>
      <c r="B510" s="390">
        <v>905</v>
      </c>
      <c r="C510" s="392" t="s">
        <v>118</v>
      </c>
      <c r="D510" s="392" t="s">
        <v>140</v>
      </c>
      <c r="E510" s="392" t="s">
        <v>1010</v>
      </c>
      <c r="F510" s="392"/>
      <c r="G510" s="397">
        <f>G511</f>
        <v>5202.1000000000004</v>
      </c>
      <c r="H510" s="397">
        <f>H511</f>
        <v>5202.1000000000004</v>
      </c>
      <c r="I510" s="192"/>
    </row>
    <row r="511" spans="1:9" ht="31.5" x14ac:dyDescent="0.25">
      <c r="A511" s="396" t="s">
        <v>131</v>
      </c>
      <c r="B511" s="390">
        <v>905</v>
      </c>
      <c r="C511" s="392" t="s">
        <v>118</v>
      </c>
      <c r="D511" s="392" t="s">
        <v>140</v>
      </c>
      <c r="E511" s="392" t="s">
        <v>1010</v>
      </c>
      <c r="F511" s="392" t="s">
        <v>132</v>
      </c>
      <c r="G511" s="397">
        <f>G512</f>
        <v>5202.1000000000004</v>
      </c>
      <c r="H511" s="397">
        <f>H512</f>
        <v>5202.1000000000004</v>
      </c>
      <c r="I511" s="192"/>
    </row>
    <row r="512" spans="1:9" ht="35.450000000000003" customHeight="1" x14ac:dyDescent="0.25">
      <c r="A512" s="396" t="s">
        <v>133</v>
      </c>
      <c r="B512" s="390">
        <v>905</v>
      </c>
      <c r="C512" s="392" t="s">
        <v>118</v>
      </c>
      <c r="D512" s="392" t="s">
        <v>140</v>
      </c>
      <c r="E512" s="392" t="s">
        <v>1010</v>
      </c>
      <c r="F512" s="392" t="s">
        <v>134</v>
      </c>
      <c r="G512" s="397">
        <v>5202.1000000000004</v>
      </c>
      <c r="H512" s="397">
        <f t="shared" si="44"/>
        <v>5202.1000000000004</v>
      </c>
      <c r="I512" s="192"/>
    </row>
    <row r="513" spans="1:9" ht="31.5" hidden="1" x14ac:dyDescent="0.25">
      <c r="A513" s="396" t="s">
        <v>930</v>
      </c>
      <c r="B513" s="390">
        <v>905</v>
      </c>
      <c r="C513" s="392" t="s">
        <v>118</v>
      </c>
      <c r="D513" s="392" t="s">
        <v>140</v>
      </c>
      <c r="E513" s="392" t="s">
        <v>1011</v>
      </c>
      <c r="F513" s="392"/>
      <c r="G513" s="397">
        <f>'[1]Пр.5 ведом.21'!G504</f>
        <v>0</v>
      </c>
      <c r="H513" s="397">
        <f t="shared" si="44"/>
        <v>0</v>
      </c>
      <c r="I513" s="192"/>
    </row>
    <row r="514" spans="1:9" ht="31.5" hidden="1" x14ac:dyDescent="0.25">
      <c r="A514" s="396" t="s">
        <v>131</v>
      </c>
      <c r="B514" s="390">
        <v>905</v>
      </c>
      <c r="C514" s="392" t="s">
        <v>118</v>
      </c>
      <c r="D514" s="392" t="s">
        <v>140</v>
      </c>
      <c r="E514" s="392" t="s">
        <v>1011</v>
      </c>
      <c r="F514" s="392" t="s">
        <v>132</v>
      </c>
      <c r="G514" s="397">
        <f>'[1]Пр.5 ведом.21'!G505</f>
        <v>0</v>
      </c>
      <c r="H514" s="397">
        <f t="shared" si="44"/>
        <v>0</v>
      </c>
      <c r="I514" s="192"/>
    </row>
    <row r="515" spans="1:9" ht="47.25" hidden="1" x14ac:dyDescent="0.25">
      <c r="A515" s="396" t="s">
        <v>133</v>
      </c>
      <c r="B515" s="390">
        <v>905</v>
      </c>
      <c r="C515" s="392" t="s">
        <v>118</v>
      </c>
      <c r="D515" s="392" t="s">
        <v>140</v>
      </c>
      <c r="E515" s="392" t="s">
        <v>1011</v>
      </c>
      <c r="F515" s="392" t="s">
        <v>134</v>
      </c>
      <c r="G515" s="397">
        <f>'[1]Пр.5 ведом.21'!G506</f>
        <v>0</v>
      </c>
      <c r="H515" s="397">
        <f t="shared" si="44"/>
        <v>0</v>
      </c>
      <c r="I515" s="192"/>
    </row>
    <row r="516" spans="1:9" ht="63" hidden="1" x14ac:dyDescent="0.25">
      <c r="A516" s="394" t="s">
        <v>1175</v>
      </c>
      <c r="B516" s="391">
        <v>905</v>
      </c>
      <c r="C516" s="395" t="s">
        <v>118</v>
      </c>
      <c r="D516" s="395" t="s">
        <v>140</v>
      </c>
      <c r="E516" s="395" t="s">
        <v>782</v>
      </c>
      <c r="F516" s="395"/>
      <c r="G516" s="393">
        <f t="shared" ref="G516:H519" si="46">G517</f>
        <v>0</v>
      </c>
      <c r="H516" s="393">
        <f t="shared" si="46"/>
        <v>0</v>
      </c>
      <c r="I516" s="192"/>
    </row>
    <row r="517" spans="1:9" ht="31.5" hidden="1" x14ac:dyDescent="0.25">
      <c r="A517" s="394" t="s">
        <v>929</v>
      </c>
      <c r="B517" s="391">
        <v>905</v>
      </c>
      <c r="C517" s="395" t="s">
        <v>118</v>
      </c>
      <c r="D517" s="395" t="s">
        <v>140</v>
      </c>
      <c r="E517" s="395" t="s">
        <v>1019</v>
      </c>
      <c r="F517" s="395"/>
      <c r="G517" s="393">
        <f t="shared" si="46"/>
        <v>0</v>
      </c>
      <c r="H517" s="393">
        <f t="shared" si="46"/>
        <v>0</v>
      </c>
      <c r="I517" s="192"/>
    </row>
    <row r="518" spans="1:9" ht="31.5" hidden="1" x14ac:dyDescent="0.25">
      <c r="A518" s="396" t="s">
        <v>790</v>
      </c>
      <c r="B518" s="390">
        <v>905</v>
      </c>
      <c r="C518" s="392" t="s">
        <v>118</v>
      </c>
      <c r="D518" s="392" t="s">
        <v>140</v>
      </c>
      <c r="E518" s="392" t="s">
        <v>1020</v>
      </c>
      <c r="F518" s="392"/>
      <c r="G518" s="397">
        <f t="shared" si="46"/>
        <v>0</v>
      </c>
      <c r="H518" s="397">
        <f t="shared" si="46"/>
        <v>0</v>
      </c>
      <c r="I518" s="192"/>
    </row>
    <row r="519" spans="1:9" ht="31.5" hidden="1" x14ac:dyDescent="0.25">
      <c r="A519" s="396" t="s">
        <v>131</v>
      </c>
      <c r="B519" s="390">
        <v>905</v>
      </c>
      <c r="C519" s="392" t="s">
        <v>118</v>
      </c>
      <c r="D519" s="392" t="s">
        <v>140</v>
      </c>
      <c r="E519" s="392" t="s">
        <v>1020</v>
      </c>
      <c r="F519" s="392" t="s">
        <v>132</v>
      </c>
      <c r="G519" s="397">
        <f t="shared" si="46"/>
        <v>0</v>
      </c>
      <c r="H519" s="397">
        <f t="shared" si="46"/>
        <v>0</v>
      </c>
      <c r="I519" s="192"/>
    </row>
    <row r="520" spans="1:9" ht="47.25" hidden="1" x14ac:dyDescent="0.25">
      <c r="A520" s="396" t="s">
        <v>133</v>
      </c>
      <c r="B520" s="390">
        <v>905</v>
      </c>
      <c r="C520" s="392" t="s">
        <v>118</v>
      </c>
      <c r="D520" s="392" t="s">
        <v>140</v>
      </c>
      <c r="E520" s="392" t="s">
        <v>1020</v>
      </c>
      <c r="F520" s="392" t="s">
        <v>134</v>
      </c>
      <c r="G520" s="397">
        <v>0</v>
      </c>
      <c r="H520" s="397">
        <v>0</v>
      </c>
      <c r="I520" s="192"/>
    </row>
    <row r="521" spans="1:9" ht="15.75" x14ac:dyDescent="0.25">
      <c r="A521" s="400" t="s">
        <v>390</v>
      </c>
      <c r="B521" s="391">
        <v>905</v>
      </c>
      <c r="C521" s="395" t="s">
        <v>234</v>
      </c>
      <c r="D521" s="395"/>
      <c r="E521" s="395"/>
      <c r="F521" s="395"/>
      <c r="G521" s="393">
        <f t="shared" ref="G521:H523" si="47">G522</f>
        <v>270.39999999999998</v>
      </c>
      <c r="H521" s="393">
        <f t="shared" si="47"/>
        <v>270.39999999999998</v>
      </c>
      <c r="I521" s="192"/>
    </row>
    <row r="522" spans="1:9" ht="15.75" x14ac:dyDescent="0.25">
      <c r="A522" s="400" t="s">
        <v>391</v>
      </c>
      <c r="B522" s="391">
        <v>905</v>
      </c>
      <c r="C522" s="395" t="s">
        <v>234</v>
      </c>
      <c r="D522" s="395" t="s">
        <v>118</v>
      </c>
      <c r="E522" s="395"/>
      <c r="F522" s="395"/>
      <c r="G522" s="393">
        <f t="shared" si="47"/>
        <v>270.39999999999998</v>
      </c>
      <c r="H522" s="393">
        <f t="shared" si="47"/>
        <v>270.39999999999998</v>
      </c>
      <c r="I522" s="192"/>
    </row>
    <row r="523" spans="1:9" ht="15.75" x14ac:dyDescent="0.25">
      <c r="A523" s="394" t="s">
        <v>141</v>
      </c>
      <c r="B523" s="391">
        <v>905</v>
      </c>
      <c r="C523" s="395" t="s">
        <v>234</v>
      </c>
      <c r="D523" s="395" t="s">
        <v>118</v>
      </c>
      <c r="E523" s="395" t="s">
        <v>865</v>
      </c>
      <c r="F523" s="395"/>
      <c r="G523" s="393">
        <f t="shared" si="47"/>
        <v>270.39999999999998</v>
      </c>
      <c r="H523" s="393">
        <f t="shared" si="47"/>
        <v>270.39999999999998</v>
      </c>
      <c r="I523" s="192"/>
    </row>
    <row r="524" spans="1:9" ht="31.5" x14ac:dyDescent="0.25">
      <c r="A524" s="394" t="s">
        <v>869</v>
      </c>
      <c r="B524" s="391">
        <v>905</v>
      </c>
      <c r="C524" s="395" t="s">
        <v>234</v>
      </c>
      <c r="D524" s="395" t="s">
        <v>118</v>
      </c>
      <c r="E524" s="395" t="s">
        <v>864</v>
      </c>
      <c r="F524" s="395"/>
      <c r="G524" s="393">
        <f>G525+G528</f>
        <v>270.39999999999998</v>
      </c>
      <c r="H524" s="393">
        <f>H525+H528</f>
        <v>270.39999999999998</v>
      </c>
      <c r="I524" s="192"/>
    </row>
    <row r="525" spans="1:9" ht="31.5" x14ac:dyDescent="0.25">
      <c r="A525" s="29" t="s">
        <v>398</v>
      </c>
      <c r="B525" s="390">
        <v>905</v>
      </c>
      <c r="C525" s="392" t="s">
        <v>234</v>
      </c>
      <c r="D525" s="392" t="s">
        <v>118</v>
      </c>
      <c r="E525" s="392" t="s">
        <v>960</v>
      </c>
      <c r="F525" s="392"/>
      <c r="G525" s="397">
        <f>G526</f>
        <v>270.39999999999998</v>
      </c>
      <c r="H525" s="397">
        <f>H526</f>
        <v>270.39999999999998</v>
      </c>
      <c r="I525" s="192"/>
    </row>
    <row r="526" spans="1:9" ht="31.5" x14ac:dyDescent="0.25">
      <c r="A526" s="396" t="s">
        <v>131</v>
      </c>
      <c r="B526" s="390">
        <v>905</v>
      </c>
      <c r="C526" s="392" t="s">
        <v>234</v>
      </c>
      <c r="D526" s="392" t="s">
        <v>118</v>
      </c>
      <c r="E526" s="392" t="s">
        <v>960</v>
      </c>
      <c r="F526" s="392" t="s">
        <v>132</v>
      </c>
      <c r="G526" s="397">
        <f>G527</f>
        <v>270.39999999999998</v>
      </c>
      <c r="H526" s="397">
        <f>H527</f>
        <v>270.39999999999998</v>
      </c>
      <c r="I526" s="192"/>
    </row>
    <row r="527" spans="1:9" ht="47.25" x14ac:dyDescent="0.25">
      <c r="A527" s="396" t="s">
        <v>133</v>
      </c>
      <c r="B527" s="390">
        <v>905</v>
      </c>
      <c r="C527" s="392" t="s">
        <v>234</v>
      </c>
      <c r="D527" s="392" t="s">
        <v>118</v>
      </c>
      <c r="E527" s="392" t="s">
        <v>960</v>
      </c>
      <c r="F527" s="392" t="s">
        <v>134</v>
      </c>
      <c r="G527" s="397">
        <f>270.4</f>
        <v>270.39999999999998</v>
      </c>
      <c r="H527" s="397">
        <f t="shared" si="44"/>
        <v>270.39999999999998</v>
      </c>
      <c r="I527" s="192"/>
    </row>
    <row r="528" spans="1:9" ht="31.5" hidden="1" x14ac:dyDescent="0.25">
      <c r="A528" s="29" t="s">
        <v>931</v>
      </c>
      <c r="B528" s="390">
        <v>905</v>
      </c>
      <c r="C528" s="392" t="s">
        <v>234</v>
      </c>
      <c r="D528" s="392" t="s">
        <v>118</v>
      </c>
      <c r="E528" s="392" t="s">
        <v>961</v>
      </c>
      <c r="F528" s="392"/>
      <c r="G528" s="397">
        <f>G529</f>
        <v>0</v>
      </c>
      <c r="H528" s="397">
        <f>H529</f>
        <v>0</v>
      </c>
      <c r="I528" s="192"/>
    </row>
    <row r="529" spans="1:15" ht="31.5" hidden="1" x14ac:dyDescent="0.25">
      <c r="A529" s="396" t="s">
        <v>131</v>
      </c>
      <c r="B529" s="390">
        <v>905</v>
      </c>
      <c r="C529" s="392" t="s">
        <v>234</v>
      </c>
      <c r="D529" s="392" t="s">
        <v>118</v>
      </c>
      <c r="E529" s="392" t="s">
        <v>961</v>
      </c>
      <c r="F529" s="392" t="s">
        <v>132</v>
      </c>
      <c r="G529" s="397">
        <f>G530</f>
        <v>0</v>
      </c>
      <c r="H529" s="397">
        <f>H530</f>
        <v>0</v>
      </c>
      <c r="I529" s="192"/>
    </row>
    <row r="530" spans="1:15" ht="47.25" hidden="1" x14ac:dyDescent="0.25">
      <c r="A530" s="396" t="s">
        <v>133</v>
      </c>
      <c r="B530" s="390">
        <v>905</v>
      </c>
      <c r="C530" s="392" t="s">
        <v>234</v>
      </c>
      <c r="D530" s="392" t="s">
        <v>118</v>
      </c>
      <c r="E530" s="392" t="s">
        <v>961</v>
      </c>
      <c r="F530" s="392" t="s">
        <v>134</v>
      </c>
      <c r="G530" s="397">
        <v>0</v>
      </c>
      <c r="H530" s="397">
        <v>0</v>
      </c>
      <c r="I530" s="192"/>
    </row>
    <row r="531" spans="1:15" ht="15.75" x14ac:dyDescent="0.25">
      <c r="A531" s="394" t="s">
        <v>243</v>
      </c>
      <c r="B531" s="391">
        <v>905</v>
      </c>
      <c r="C531" s="395" t="s">
        <v>244</v>
      </c>
      <c r="D531" s="392"/>
      <c r="E531" s="392"/>
      <c r="F531" s="392"/>
      <c r="G531" s="393">
        <f t="shared" ref="G531:H535" si="48">G532</f>
        <v>2469.1</v>
      </c>
      <c r="H531" s="393">
        <f t="shared" si="48"/>
        <v>10803.2</v>
      </c>
      <c r="I531" s="192"/>
    </row>
    <row r="532" spans="1:15" ht="15.75" x14ac:dyDescent="0.25">
      <c r="A532" s="394" t="s">
        <v>400</v>
      </c>
      <c r="B532" s="391">
        <v>905</v>
      </c>
      <c r="C532" s="395" t="s">
        <v>244</v>
      </c>
      <c r="D532" s="395" t="s">
        <v>150</v>
      </c>
      <c r="E532" s="392"/>
      <c r="F532" s="392"/>
      <c r="G532" s="393">
        <f t="shared" si="48"/>
        <v>2469.1</v>
      </c>
      <c r="H532" s="393">
        <f t="shared" si="48"/>
        <v>10803.2</v>
      </c>
      <c r="I532" s="192"/>
    </row>
    <row r="533" spans="1:15" ht="31.5" x14ac:dyDescent="0.25">
      <c r="A533" s="394" t="s">
        <v>884</v>
      </c>
      <c r="B533" s="391">
        <v>905</v>
      </c>
      <c r="C533" s="395" t="s">
        <v>244</v>
      </c>
      <c r="D533" s="395" t="s">
        <v>150</v>
      </c>
      <c r="E533" s="395" t="s">
        <v>862</v>
      </c>
      <c r="F533" s="392"/>
      <c r="G533" s="393">
        <f t="shared" si="48"/>
        <v>2469.1</v>
      </c>
      <c r="H533" s="393">
        <f t="shared" si="48"/>
        <v>10803.2</v>
      </c>
      <c r="I533" s="192"/>
    </row>
    <row r="534" spans="1:15" ht="47.25" x14ac:dyDescent="0.25">
      <c r="A534" s="396" t="s">
        <v>1169</v>
      </c>
      <c r="B534" s="390">
        <v>905</v>
      </c>
      <c r="C534" s="392" t="s">
        <v>244</v>
      </c>
      <c r="D534" s="392" t="s">
        <v>150</v>
      </c>
      <c r="E534" s="392" t="s">
        <v>1168</v>
      </c>
      <c r="F534" s="392"/>
      <c r="G534" s="397">
        <f t="shared" si="48"/>
        <v>2469.1</v>
      </c>
      <c r="H534" s="397">
        <f t="shared" si="48"/>
        <v>10803.2</v>
      </c>
      <c r="I534" s="192"/>
    </row>
    <row r="535" spans="1:15" ht="31.5" x14ac:dyDescent="0.25">
      <c r="A535" s="396" t="s">
        <v>131</v>
      </c>
      <c r="B535" s="390">
        <v>905</v>
      </c>
      <c r="C535" s="392" t="s">
        <v>244</v>
      </c>
      <c r="D535" s="392" t="s">
        <v>150</v>
      </c>
      <c r="E535" s="392" t="s">
        <v>1168</v>
      </c>
      <c r="F535" s="392" t="s">
        <v>132</v>
      </c>
      <c r="G535" s="397">
        <f t="shared" si="48"/>
        <v>2469.1</v>
      </c>
      <c r="H535" s="397">
        <f t="shared" si="48"/>
        <v>10803.2</v>
      </c>
      <c r="I535" s="192"/>
    </row>
    <row r="536" spans="1:15" ht="32.65" customHeight="1" x14ac:dyDescent="0.25">
      <c r="A536" s="396" t="s">
        <v>133</v>
      </c>
      <c r="B536" s="390">
        <v>905</v>
      </c>
      <c r="C536" s="392" t="s">
        <v>244</v>
      </c>
      <c r="D536" s="392" t="s">
        <v>150</v>
      </c>
      <c r="E536" s="392" t="s">
        <v>1168</v>
      </c>
      <c r="F536" s="392" t="s">
        <v>134</v>
      </c>
      <c r="G536" s="397">
        <v>2469.1</v>
      </c>
      <c r="H536" s="397">
        <v>10803.2</v>
      </c>
      <c r="I536" s="192"/>
    </row>
    <row r="537" spans="1:15" ht="31.5" x14ac:dyDescent="0.25">
      <c r="A537" s="391" t="s">
        <v>403</v>
      </c>
      <c r="B537" s="391">
        <v>906</v>
      </c>
      <c r="C537" s="395"/>
      <c r="D537" s="395"/>
      <c r="E537" s="395"/>
      <c r="F537" s="395"/>
      <c r="G537" s="393">
        <f>G548+G538</f>
        <v>346220.19999999995</v>
      </c>
      <c r="H537" s="393">
        <f>H548+H538</f>
        <v>369274.95</v>
      </c>
      <c r="I537" s="192"/>
      <c r="M537" s="22"/>
      <c r="O537" s="216"/>
    </row>
    <row r="538" spans="1:15" ht="15.75" hidden="1" x14ac:dyDescent="0.25">
      <c r="A538" s="394" t="s">
        <v>117</v>
      </c>
      <c r="B538" s="391">
        <v>906</v>
      </c>
      <c r="C538" s="395" t="s">
        <v>118</v>
      </c>
      <c r="D538" s="395"/>
      <c r="E538" s="395"/>
      <c r="F538" s="395"/>
      <c r="G538" s="393">
        <f t="shared" ref="G538:H541" si="49">G539</f>
        <v>0</v>
      </c>
      <c r="H538" s="393">
        <f t="shared" si="49"/>
        <v>0</v>
      </c>
      <c r="I538" s="192"/>
    </row>
    <row r="539" spans="1:15" ht="15.75" hidden="1" x14ac:dyDescent="0.25">
      <c r="A539" s="34" t="s">
        <v>139</v>
      </c>
      <c r="B539" s="391">
        <v>906</v>
      </c>
      <c r="C539" s="395" t="s">
        <v>118</v>
      </c>
      <c r="D539" s="395" t="s">
        <v>140</v>
      </c>
      <c r="E539" s="395"/>
      <c r="F539" s="395"/>
      <c r="G539" s="393">
        <f t="shared" si="49"/>
        <v>0</v>
      </c>
      <c r="H539" s="393">
        <f t="shared" si="49"/>
        <v>0</v>
      </c>
      <c r="I539" s="192"/>
    </row>
    <row r="540" spans="1:15" ht="47.25" hidden="1" x14ac:dyDescent="0.25">
      <c r="A540" s="394" t="s">
        <v>1354</v>
      </c>
      <c r="B540" s="391">
        <v>906</v>
      </c>
      <c r="C540" s="395" t="s">
        <v>118</v>
      </c>
      <c r="D540" s="395" t="s">
        <v>140</v>
      </c>
      <c r="E540" s="395" t="s">
        <v>335</v>
      </c>
      <c r="F540" s="395"/>
      <c r="G540" s="393">
        <f t="shared" si="49"/>
        <v>0</v>
      </c>
      <c r="H540" s="393">
        <f t="shared" si="49"/>
        <v>0</v>
      </c>
      <c r="I540" s="192"/>
    </row>
    <row r="541" spans="1:15" ht="31.5" hidden="1" x14ac:dyDescent="0.25">
      <c r="A541" s="197" t="s">
        <v>1050</v>
      </c>
      <c r="B541" s="391">
        <v>906</v>
      </c>
      <c r="C541" s="395" t="s">
        <v>118</v>
      </c>
      <c r="D541" s="395" t="s">
        <v>140</v>
      </c>
      <c r="E541" s="395" t="s">
        <v>1051</v>
      </c>
      <c r="F541" s="395"/>
      <c r="G541" s="393">
        <f t="shared" si="49"/>
        <v>0</v>
      </c>
      <c r="H541" s="393">
        <f t="shared" si="49"/>
        <v>0</v>
      </c>
      <c r="I541" s="192"/>
    </row>
    <row r="542" spans="1:15" ht="31.5" hidden="1" x14ac:dyDescent="0.25">
      <c r="A542" s="97" t="s">
        <v>336</v>
      </c>
      <c r="B542" s="390">
        <v>906</v>
      </c>
      <c r="C542" s="392" t="s">
        <v>118</v>
      </c>
      <c r="D542" s="392" t="s">
        <v>140</v>
      </c>
      <c r="E542" s="392" t="s">
        <v>1052</v>
      </c>
      <c r="F542" s="392"/>
      <c r="G542" s="397">
        <f>G543</f>
        <v>0</v>
      </c>
      <c r="H542" s="397">
        <f>H543</f>
        <v>0</v>
      </c>
      <c r="I542" s="192"/>
    </row>
    <row r="543" spans="1:15" ht="31.5" hidden="1" x14ac:dyDescent="0.25">
      <c r="A543" s="396" t="s">
        <v>131</v>
      </c>
      <c r="B543" s="390">
        <v>906</v>
      </c>
      <c r="C543" s="392" t="s">
        <v>118</v>
      </c>
      <c r="D543" s="392" t="s">
        <v>140</v>
      </c>
      <c r="E543" s="392" t="s">
        <v>1052</v>
      </c>
      <c r="F543" s="392" t="s">
        <v>132</v>
      </c>
      <c r="G543" s="397">
        <f>G544</f>
        <v>0</v>
      </c>
      <c r="H543" s="397">
        <f>H544</f>
        <v>0</v>
      </c>
      <c r="I543" s="192"/>
    </row>
    <row r="544" spans="1:15" ht="47.25" hidden="1" x14ac:dyDescent="0.25">
      <c r="A544" s="396" t="s">
        <v>133</v>
      </c>
      <c r="B544" s="390">
        <v>906</v>
      </c>
      <c r="C544" s="392" t="s">
        <v>118</v>
      </c>
      <c r="D544" s="392" t="s">
        <v>140</v>
      </c>
      <c r="E544" s="392" t="s">
        <v>1052</v>
      </c>
      <c r="F544" s="392" t="s">
        <v>134</v>
      </c>
      <c r="G544" s="397">
        <v>0</v>
      </c>
      <c r="H544" s="397">
        <v>0</v>
      </c>
      <c r="I544" s="192"/>
    </row>
    <row r="545" spans="1:9" ht="16.350000000000001" hidden="1" customHeight="1" x14ac:dyDescent="0.25">
      <c r="A545" s="31" t="s">
        <v>773</v>
      </c>
      <c r="B545" s="390">
        <v>906</v>
      </c>
      <c r="C545" s="392" t="s">
        <v>118</v>
      </c>
      <c r="D545" s="392" t="s">
        <v>140</v>
      </c>
      <c r="E545" s="392" t="s">
        <v>1074</v>
      </c>
      <c r="F545" s="392"/>
      <c r="G545" s="397" t="e">
        <f>'[1]Пр.5 ведом.21'!#REF!</f>
        <v>#REF!</v>
      </c>
      <c r="H545" s="397" t="e">
        <f t="shared" si="44"/>
        <v>#REF!</v>
      </c>
      <c r="I545" s="192"/>
    </row>
    <row r="546" spans="1:9" ht="31.5" hidden="1" x14ac:dyDescent="0.25">
      <c r="A546" s="396" t="s">
        <v>131</v>
      </c>
      <c r="B546" s="390">
        <v>906</v>
      </c>
      <c r="C546" s="392" t="s">
        <v>118</v>
      </c>
      <c r="D546" s="392" t="s">
        <v>140</v>
      </c>
      <c r="E546" s="392" t="s">
        <v>1074</v>
      </c>
      <c r="F546" s="392" t="s">
        <v>132</v>
      </c>
      <c r="G546" s="397" t="e">
        <f>'[1]Пр.5 ведом.21'!#REF!</f>
        <v>#REF!</v>
      </c>
      <c r="H546" s="397" t="e">
        <f t="shared" si="44"/>
        <v>#REF!</v>
      </c>
      <c r="I546" s="192"/>
    </row>
    <row r="547" spans="1:9" ht="47.25" hidden="1" x14ac:dyDescent="0.25">
      <c r="A547" s="396" t="s">
        <v>133</v>
      </c>
      <c r="B547" s="390">
        <v>906</v>
      </c>
      <c r="C547" s="392" t="s">
        <v>118</v>
      </c>
      <c r="D547" s="392" t="s">
        <v>140</v>
      </c>
      <c r="E547" s="392" t="s">
        <v>1074</v>
      </c>
      <c r="F547" s="392" t="s">
        <v>134</v>
      </c>
      <c r="G547" s="397" t="e">
        <f>'[1]Пр.5 ведом.21'!#REF!</f>
        <v>#REF!</v>
      </c>
      <c r="H547" s="397" t="e">
        <f t="shared" si="44"/>
        <v>#REF!</v>
      </c>
      <c r="I547" s="192"/>
    </row>
    <row r="548" spans="1:9" ht="15.75" x14ac:dyDescent="0.25">
      <c r="A548" s="394" t="s">
        <v>263</v>
      </c>
      <c r="B548" s="391">
        <v>906</v>
      </c>
      <c r="C548" s="395" t="s">
        <v>264</v>
      </c>
      <c r="D548" s="395"/>
      <c r="E548" s="395"/>
      <c r="F548" s="395"/>
      <c r="G548" s="393">
        <f>G549+G609+G720+G729+G691</f>
        <v>346220.19999999995</v>
      </c>
      <c r="H548" s="393">
        <f>H549+H609+H720+H729+H691</f>
        <v>369274.95</v>
      </c>
      <c r="I548" s="192"/>
    </row>
    <row r="549" spans="1:9" ht="15.75" x14ac:dyDescent="0.25">
      <c r="A549" s="394" t="s">
        <v>404</v>
      </c>
      <c r="B549" s="391">
        <v>906</v>
      </c>
      <c r="C549" s="395" t="s">
        <v>264</v>
      </c>
      <c r="D549" s="395" t="s">
        <v>118</v>
      </c>
      <c r="E549" s="395"/>
      <c r="F549" s="395"/>
      <c r="G549" s="393">
        <f>G550+G599+G604</f>
        <v>102250.3</v>
      </c>
      <c r="H549" s="393">
        <f>H550+H599+H604</f>
        <v>105829.20000000001</v>
      </c>
      <c r="I549" s="192"/>
    </row>
    <row r="550" spans="1:9" ht="31.9" customHeight="1" x14ac:dyDescent="0.25">
      <c r="A550" s="394" t="s">
        <v>1357</v>
      </c>
      <c r="B550" s="391">
        <v>906</v>
      </c>
      <c r="C550" s="395" t="s">
        <v>264</v>
      </c>
      <c r="D550" s="395" t="s">
        <v>118</v>
      </c>
      <c r="E550" s="395" t="s">
        <v>406</v>
      </c>
      <c r="F550" s="395"/>
      <c r="G550" s="393">
        <f>G551+G555+G568+G578+G588+G592</f>
        <v>101599.40000000001</v>
      </c>
      <c r="H550" s="393">
        <f>H551+H555+H568+H578+H588+H592</f>
        <v>105210.40000000001</v>
      </c>
      <c r="I550" s="192"/>
    </row>
    <row r="551" spans="1:9" ht="31.5" x14ac:dyDescent="0.25">
      <c r="A551" s="394" t="s">
        <v>936</v>
      </c>
      <c r="B551" s="391">
        <v>906</v>
      </c>
      <c r="C551" s="395" t="s">
        <v>264</v>
      </c>
      <c r="D551" s="395" t="s">
        <v>118</v>
      </c>
      <c r="E551" s="395" t="s">
        <v>1228</v>
      </c>
      <c r="F551" s="395"/>
      <c r="G551" s="393">
        <f t="shared" ref="G551:H553" si="50">G552</f>
        <v>14795.6</v>
      </c>
      <c r="H551" s="393">
        <f t="shared" si="50"/>
        <v>14795.6</v>
      </c>
      <c r="I551" s="192"/>
    </row>
    <row r="552" spans="1:9" ht="43.5" customHeight="1" x14ac:dyDescent="0.25">
      <c r="A552" s="396" t="s">
        <v>1227</v>
      </c>
      <c r="B552" s="390">
        <v>906</v>
      </c>
      <c r="C552" s="392" t="s">
        <v>264</v>
      </c>
      <c r="D552" s="392" t="s">
        <v>118</v>
      </c>
      <c r="E552" s="392" t="s">
        <v>1229</v>
      </c>
      <c r="F552" s="392"/>
      <c r="G552" s="397">
        <f t="shared" si="50"/>
        <v>14795.6</v>
      </c>
      <c r="H552" s="397">
        <f t="shared" si="50"/>
        <v>14795.6</v>
      </c>
      <c r="I552" s="192"/>
    </row>
    <row r="553" spans="1:9" ht="31.5" x14ac:dyDescent="0.25">
      <c r="A553" s="396" t="s">
        <v>272</v>
      </c>
      <c r="B553" s="390">
        <v>906</v>
      </c>
      <c r="C553" s="392" t="s">
        <v>264</v>
      </c>
      <c r="D553" s="392" t="s">
        <v>118</v>
      </c>
      <c r="E553" s="392" t="s">
        <v>1229</v>
      </c>
      <c r="F553" s="392" t="s">
        <v>273</v>
      </c>
      <c r="G553" s="397">
        <f t="shared" si="50"/>
        <v>14795.6</v>
      </c>
      <c r="H553" s="397">
        <f t="shared" si="50"/>
        <v>14795.6</v>
      </c>
      <c r="I553" s="192"/>
    </row>
    <row r="554" spans="1:9" ht="15.75" x14ac:dyDescent="0.25">
      <c r="A554" s="396" t="s">
        <v>274</v>
      </c>
      <c r="B554" s="390">
        <v>906</v>
      </c>
      <c r="C554" s="392" t="s">
        <v>264</v>
      </c>
      <c r="D554" s="392" t="s">
        <v>118</v>
      </c>
      <c r="E554" s="392" t="s">
        <v>1229</v>
      </c>
      <c r="F554" s="392" t="s">
        <v>275</v>
      </c>
      <c r="G554" s="397">
        <v>14795.6</v>
      </c>
      <c r="H554" s="397">
        <f t="shared" si="44"/>
        <v>14795.6</v>
      </c>
      <c r="I554" s="192"/>
    </row>
    <row r="555" spans="1:9" ht="47.25" x14ac:dyDescent="0.25">
      <c r="A555" s="394" t="s">
        <v>899</v>
      </c>
      <c r="B555" s="391">
        <v>906</v>
      </c>
      <c r="C555" s="395" t="s">
        <v>264</v>
      </c>
      <c r="D555" s="395" t="s">
        <v>118</v>
      </c>
      <c r="E555" s="395" t="s">
        <v>1230</v>
      </c>
      <c r="F555" s="395"/>
      <c r="G555" s="44">
        <f>G559+G562+G565+G556</f>
        <v>75561.5</v>
      </c>
      <c r="H555" s="44">
        <f>H559+H562+H565+H556</f>
        <v>79924.100000000006</v>
      </c>
      <c r="I555" s="192"/>
    </row>
    <row r="556" spans="1:9" ht="94.5" x14ac:dyDescent="0.25">
      <c r="A556" s="31" t="s">
        <v>293</v>
      </c>
      <c r="B556" s="390">
        <v>906</v>
      </c>
      <c r="C556" s="392" t="s">
        <v>264</v>
      </c>
      <c r="D556" s="392" t="s">
        <v>118</v>
      </c>
      <c r="E556" s="392" t="s">
        <v>1389</v>
      </c>
      <c r="F556" s="392"/>
      <c r="G556" s="397">
        <f>G557</f>
        <v>3230</v>
      </c>
      <c r="H556" s="397">
        <f>H557</f>
        <v>3230</v>
      </c>
      <c r="I556" s="192"/>
    </row>
    <row r="557" spans="1:9" ht="31.5" x14ac:dyDescent="0.25">
      <c r="A557" s="396" t="s">
        <v>272</v>
      </c>
      <c r="B557" s="390">
        <v>906</v>
      </c>
      <c r="C557" s="392" t="s">
        <v>264</v>
      </c>
      <c r="D557" s="392" t="s">
        <v>118</v>
      </c>
      <c r="E557" s="392" t="s">
        <v>1389</v>
      </c>
      <c r="F557" s="392" t="s">
        <v>273</v>
      </c>
      <c r="G557" s="397">
        <f>G558</f>
        <v>3230</v>
      </c>
      <c r="H557" s="397">
        <f>H558</f>
        <v>3230</v>
      </c>
      <c r="I557" s="192"/>
    </row>
    <row r="558" spans="1:9" ht="15.75" x14ac:dyDescent="0.25">
      <c r="A558" s="396" t="s">
        <v>274</v>
      </c>
      <c r="B558" s="390">
        <v>906</v>
      </c>
      <c r="C558" s="392" t="s">
        <v>264</v>
      </c>
      <c r="D558" s="392" t="s">
        <v>118</v>
      </c>
      <c r="E558" s="392" t="s">
        <v>1389</v>
      </c>
      <c r="F558" s="392" t="s">
        <v>275</v>
      </c>
      <c r="G558" s="397">
        <v>3230</v>
      </c>
      <c r="H558" s="397">
        <f>G558</f>
        <v>3230</v>
      </c>
      <c r="I558" s="192"/>
    </row>
    <row r="559" spans="1:9" ht="66.75" customHeight="1" x14ac:dyDescent="0.25">
      <c r="A559" s="31" t="s">
        <v>289</v>
      </c>
      <c r="B559" s="390">
        <v>906</v>
      </c>
      <c r="C559" s="392" t="s">
        <v>264</v>
      </c>
      <c r="D559" s="392" t="s">
        <v>118</v>
      </c>
      <c r="E559" s="392" t="s">
        <v>1231</v>
      </c>
      <c r="F559" s="392"/>
      <c r="G559" s="397">
        <f>G560</f>
        <v>589</v>
      </c>
      <c r="H559" s="397">
        <f>H560</f>
        <v>589</v>
      </c>
      <c r="I559" s="192"/>
    </row>
    <row r="560" spans="1:9" ht="31.5" x14ac:dyDescent="0.25">
      <c r="A560" s="396" t="s">
        <v>272</v>
      </c>
      <c r="B560" s="390">
        <v>906</v>
      </c>
      <c r="C560" s="392" t="s">
        <v>264</v>
      </c>
      <c r="D560" s="392" t="s">
        <v>118</v>
      </c>
      <c r="E560" s="392" t="s">
        <v>1231</v>
      </c>
      <c r="F560" s="392" t="s">
        <v>273</v>
      </c>
      <c r="G560" s="397">
        <f>G561</f>
        <v>589</v>
      </c>
      <c r="H560" s="397">
        <f>H561</f>
        <v>589</v>
      </c>
      <c r="I560" s="192"/>
    </row>
    <row r="561" spans="1:9" ht="15.75" x14ac:dyDescent="0.25">
      <c r="A561" s="396" t="s">
        <v>274</v>
      </c>
      <c r="B561" s="390">
        <v>906</v>
      </c>
      <c r="C561" s="392" t="s">
        <v>264</v>
      </c>
      <c r="D561" s="392" t="s">
        <v>118</v>
      </c>
      <c r="E561" s="392" t="s">
        <v>1231</v>
      </c>
      <c r="F561" s="392" t="s">
        <v>275</v>
      </c>
      <c r="G561" s="397">
        <v>589</v>
      </c>
      <c r="H561" s="397">
        <f t="shared" si="44"/>
        <v>589</v>
      </c>
      <c r="I561" s="192"/>
    </row>
    <row r="562" spans="1:9" ht="63" x14ac:dyDescent="0.25">
      <c r="A562" s="31" t="s">
        <v>291</v>
      </c>
      <c r="B562" s="390">
        <v>906</v>
      </c>
      <c r="C562" s="392" t="s">
        <v>264</v>
      </c>
      <c r="D562" s="392" t="s">
        <v>118</v>
      </c>
      <c r="E562" s="392" t="s">
        <v>1232</v>
      </c>
      <c r="F562" s="392"/>
      <c r="G562" s="397">
        <f>G563</f>
        <v>1629.3</v>
      </c>
      <c r="H562" s="397">
        <f>H563</f>
        <v>1629.3</v>
      </c>
      <c r="I562" s="192"/>
    </row>
    <row r="563" spans="1:9" ht="31.5" x14ac:dyDescent="0.25">
      <c r="A563" s="396" t="s">
        <v>272</v>
      </c>
      <c r="B563" s="390">
        <v>906</v>
      </c>
      <c r="C563" s="392" t="s">
        <v>264</v>
      </c>
      <c r="D563" s="392" t="s">
        <v>118</v>
      </c>
      <c r="E563" s="392" t="s">
        <v>1232</v>
      </c>
      <c r="F563" s="392" t="s">
        <v>273</v>
      </c>
      <c r="G563" s="397">
        <f>G564</f>
        <v>1629.3</v>
      </c>
      <c r="H563" s="397">
        <f>H564</f>
        <v>1629.3</v>
      </c>
      <c r="I563" s="192"/>
    </row>
    <row r="564" spans="1:9" ht="15.75" x14ac:dyDescent="0.25">
      <c r="A564" s="396" t="s">
        <v>274</v>
      </c>
      <c r="B564" s="390">
        <v>906</v>
      </c>
      <c r="C564" s="392" t="s">
        <v>264</v>
      </c>
      <c r="D564" s="392" t="s">
        <v>118</v>
      </c>
      <c r="E564" s="392" t="s">
        <v>1232</v>
      </c>
      <c r="F564" s="392" t="s">
        <v>275</v>
      </c>
      <c r="G564" s="397">
        <f>1629.3</f>
        <v>1629.3</v>
      </c>
      <c r="H564" s="397">
        <f t="shared" si="44"/>
        <v>1629.3</v>
      </c>
      <c r="I564" s="192"/>
    </row>
    <row r="565" spans="1:9" ht="94.5" x14ac:dyDescent="0.25">
      <c r="A565" s="31" t="s">
        <v>421</v>
      </c>
      <c r="B565" s="390">
        <v>906</v>
      </c>
      <c r="C565" s="392" t="s">
        <v>264</v>
      </c>
      <c r="D565" s="392" t="s">
        <v>118</v>
      </c>
      <c r="E565" s="392" t="s">
        <v>1233</v>
      </c>
      <c r="F565" s="392"/>
      <c r="G565" s="397">
        <f>G566</f>
        <v>70113.2</v>
      </c>
      <c r="H565" s="397">
        <f>H566</f>
        <v>74475.8</v>
      </c>
      <c r="I565" s="192"/>
    </row>
    <row r="566" spans="1:9" ht="31.5" x14ac:dyDescent="0.25">
      <c r="A566" s="396" t="s">
        <v>272</v>
      </c>
      <c r="B566" s="390">
        <v>906</v>
      </c>
      <c r="C566" s="392" t="s">
        <v>264</v>
      </c>
      <c r="D566" s="392" t="s">
        <v>118</v>
      </c>
      <c r="E566" s="392" t="s">
        <v>1233</v>
      </c>
      <c r="F566" s="392" t="s">
        <v>273</v>
      </c>
      <c r="G566" s="397">
        <f>G567</f>
        <v>70113.2</v>
      </c>
      <c r="H566" s="397">
        <f>H567</f>
        <v>74475.8</v>
      </c>
      <c r="I566" s="192"/>
    </row>
    <row r="567" spans="1:9" ht="15.75" x14ac:dyDescent="0.25">
      <c r="A567" s="396" t="s">
        <v>274</v>
      </c>
      <c r="B567" s="390">
        <v>906</v>
      </c>
      <c r="C567" s="392" t="s">
        <v>264</v>
      </c>
      <c r="D567" s="392" t="s">
        <v>118</v>
      </c>
      <c r="E567" s="392" t="s">
        <v>1233</v>
      </c>
      <c r="F567" s="392" t="s">
        <v>275</v>
      </c>
      <c r="G567" s="397">
        <v>70113.2</v>
      </c>
      <c r="H567" s="397">
        <v>74475.8</v>
      </c>
      <c r="I567" s="192"/>
    </row>
    <row r="568" spans="1:9" ht="31.5" x14ac:dyDescent="0.25">
      <c r="A568" s="394" t="s">
        <v>1290</v>
      </c>
      <c r="B568" s="391">
        <v>906</v>
      </c>
      <c r="C568" s="395" t="s">
        <v>264</v>
      </c>
      <c r="D568" s="395" t="s">
        <v>118</v>
      </c>
      <c r="E568" s="395" t="s">
        <v>1235</v>
      </c>
      <c r="F568" s="395"/>
      <c r="G568" s="393">
        <f>G569+G572+G575</f>
        <v>4430</v>
      </c>
      <c r="H568" s="393">
        <f>H569+H572+H575</f>
        <v>4430</v>
      </c>
      <c r="I568" s="192"/>
    </row>
    <row r="569" spans="1:9" ht="31.5" hidden="1" x14ac:dyDescent="0.25">
      <c r="A569" s="396" t="s">
        <v>278</v>
      </c>
      <c r="B569" s="390">
        <v>906</v>
      </c>
      <c r="C569" s="392" t="s">
        <v>264</v>
      </c>
      <c r="D569" s="392" t="s">
        <v>118</v>
      </c>
      <c r="E569" s="392" t="s">
        <v>1316</v>
      </c>
      <c r="F569" s="392"/>
      <c r="G569" s="397">
        <f>'[1]Пр.5 ведом.21'!G557</f>
        <v>0</v>
      </c>
      <c r="H569" s="397">
        <f t="shared" si="44"/>
        <v>0</v>
      </c>
      <c r="I569" s="192"/>
    </row>
    <row r="570" spans="1:9" ht="31.5" hidden="1" x14ac:dyDescent="0.25">
      <c r="A570" s="396" t="s">
        <v>272</v>
      </c>
      <c r="B570" s="390">
        <v>906</v>
      </c>
      <c r="C570" s="392" t="s">
        <v>264</v>
      </c>
      <c r="D570" s="392" t="s">
        <v>118</v>
      </c>
      <c r="E570" s="392" t="s">
        <v>1316</v>
      </c>
      <c r="F570" s="392" t="s">
        <v>273</v>
      </c>
      <c r="G570" s="397">
        <f>'[1]Пр.5 ведом.21'!G558</f>
        <v>0</v>
      </c>
      <c r="H570" s="397">
        <f t="shared" ref="H570:H630" si="51">G570</f>
        <v>0</v>
      </c>
      <c r="I570" s="192"/>
    </row>
    <row r="571" spans="1:9" ht="15.75" hidden="1" x14ac:dyDescent="0.25">
      <c r="A571" s="396" t="s">
        <v>274</v>
      </c>
      <c r="B571" s="390">
        <v>906</v>
      </c>
      <c r="C571" s="392" t="s">
        <v>264</v>
      </c>
      <c r="D571" s="392" t="s">
        <v>118</v>
      </c>
      <c r="E571" s="392" t="s">
        <v>1316</v>
      </c>
      <c r="F571" s="392" t="s">
        <v>275</v>
      </c>
      <c r="G571" s="397">
        <f>'[1]Пр.5 ведом.21'!G559</f>
        <v>0</v>
      </c>
      <c r="H571" s="397">
        <f t="shared" si="51"/>
        <v>0</v>
      </c>
      <c r="I571" s="192"/>
    </row>
    <row r="572" spans="1:9" ht="31.5" hidden="1" x14ac:dyDescent="0.25">
      <c r="A572" s="396" t="s">
        <v>280</v>
      </c>
      <c r="B572" s="390">
        <v>906</v>
      </c>
      <c r="C572" s="392" t="s">
        <v>264</v>
      </c>
      <c r="D572" s="392" t="s">
        <v>118</v>
      </c>
      <c r="E572" s="392" t="s">
        <v>1317</v>
      </c>
      <c r="F572" s="392"/>
      <c r="G572" s="397">
        <f>'[1]Пр.5 ведом.21'!G560</f>
        <v>0</v>
      </c>
      <c r="H572" s="397">
        <f t="shared" si="51"/>
        <v>0</v>
      </c>
      <c r="I572" s="192"/>
    </row>
    <row r="573" spans="1:9" ht="31.5" hidden="1" x14ac:dyDescent="0.25">
      <c r="A573" s="396" t="s">
        <v>272</v>
      </c>
      <c r="B573" s="390">
        <v>906</v>
      </c>
      <c r="C573" s="392" t="s">
        <v>264</v>
      </c>
      <c r="D573" s="392" t="s">
        <v>118</v>
      </c>
      <c r="E573" s="392" t="s">
        <v>1317</v>
      </c>
      <c r="F573" s="392" t="s">
        <v>273</v>
      </c>
      <c r="G573" s="397">
        <f>'[1]Пр.5 ведом.21'!G561</f>
        <v>0</v>
      </c>
      <c r="H573" s="397">
        <f t="shared" si="51"/>
        <v>0</v>
      </c>
      <c r="I573" s="192"/>
    </row>
    <row r="574" spans="1:9" ht="15.75" hidden="1" x14ac:dyDescent="0.25">
      <c r="A574" s="396" t="s">
        <v>274</v>
      </c>
      <c r="B574" s="390">
        <v>906</v>
      </c>
      <c r="C574" s="392" t="s">
        <v>264</v>
      </c>
      <c r="D574" s="392" t="s">
        <v>118</v>
      </c>
      <c r="E574" s="392" t="s">
        <v>1317</v>
      </c>
      <c r="F574" s="392" t="s">
        <v>275</v>
      </c>
      <c r="G574" s="397">
        <f>'[1]Пр.5 ведом.21'!G562</f>
        <v>0</v>
      </c>
      <c r="H574" s="397">
        <f t="shared" si="51"/>
        <v>0</v>
      </c>
      <c r="I574" s="192"/>
    </row>
    <row r="575" spans="1:9" ht="31.5" x14ac:dyDescent="0.25">
      <c r="A575" s="29" t="s">
        <v>415</v>
      </c>
      <c r="B575" s="390">
        <v>906</v>
      </c>
      <c r="C575" s="392" t="s">
        <v>264</v>
      </c>
      <c r="D575" s="392" t="s">
        <v>118</v>
      </c>
      <c r="E575" s="392" t="s">
        <v>1236</v>
      </c>
      <c r="F575" s="392"/>
      <c r="G575" s="397">
        <f>G576</f>
        <v>4430</v>
      </c>
      <c r="H575" s="397">
        <f>H576</f>
        <v>4430</v>
      </c>
      <c r="I575" s="192"/>
    </row>
    <row r="576" spans="1:9" ht="31.5" x14ac:dyDescent="0.25">
      <c r="A576" s="396" t="s">
        <v>272</v>
      </c>
      <c r="B576" s="390">
        <v>906</v>
      </c>
      <c r="C576" s="392" t="s">
        <v>264</v>
      </c>
      <c r="D576" s="392" t="s">
        <v>118</v>
      </c>
      <c r="E576" s="392" t="s">
        <v>1236</v>
      </c>
      <c r="F576" s="392" t="s">
        <v>273</v>
      </c>
      <c r="G576" s="397">
        <f>G577</f>
        <v>4430</v>
      </c>
      <c r="H576" s="397">
        <f>H577</f>
        <v>4430</v>
      </c>
      <c r="I576" s="192"/>
    </row>
    <row r="577" spans="1:9" ht="15.75" x14ac:dyDescent="0.25">
      <c r="A577" s="396" t="s">
        <v>274</v>
      </c>
      <c r="B577" s="390">
        <v>906</v>
      </c>
      <c r="C577" s="392" t="s">
        <v>264</v>
      </c>
      <c r="D577" s="392" t="s">
        <v>118</v>
      </c>
      <c r="E577" s="392" t="s">
        <v>1236</v>
      </c>
      <c r="F577" s="392" t="s">
        <v>275</v>
      </c>
      <c r="G577" s="397">
        <f>4430</f>
        <v>4430</v>
      </c>
      <c r="H577" s="397">
        <f t="shared" si="51"/>
        <v>4430</v>
      </c>
      <c r="I577" s="192"/>
    </row>
    <row r="578" spans="1:9" ht="31.5" x14ac:dyDescent="0.25">
      <c r="A578" s="203" t="s">
        <v>947</v>
      </c>
      <c r="B578" s="391">
        <v>906</v>
      </c>
      <c r="C578" s="395" t="s">
        <v>264</v>
      </c>
      <c r="D578" s="395" t="s">
        <v>118</v>
      </c>
      <c r="E578" s="395" t="s">
        <v>1238</v>
      </c>
      <c r="F578" s="395"/>
      <c r="G578" s="44">
        <f>G579+G582+G585</f>
        <v>4848</v>
      </c>
      <c r="H578" s="44">
        <f>H579+H582+H585</f>
        <v>4848</v>
      </c>
      <c r="I578" s="192"/>
    </row>
    <row r="579" spans="1:9" ht="31.5" hidden="1" x14ac:dyDescent="0.25">
      <c r="A579" s="396" t="s">
        <v>284</v>
      </c>
      <c r="B579" s="390">
        <v>906</v>
      </c>
      <c r="C579" s="392" t="s">
        <v>264</v>
      </c>
      <c r="D579" s="392" t="s">
        <v>118</v>
      </c>
      <c r="E579" s="392" t="s">
        <v>1256</v>
      </c>
      <c r="F579" s="392"/>
      <c r="G579" s="397">
        <f>'[1]Пр.5 ведом.21'!G567</f>
        <v>0</v>
      </c>
      <c r="H579" s="397">
        <f t="shared" si="51"/>
        <v>0</v>
      </c>
      <c r="I579" s="192"/>
    </row>
    <row r="580" spans="1:9" ht="31.5" hidden="1" x14ac:dyDescent="0.25">
      <c r="A580" s="396" t="s">
        <v>272</v>
      </c>
      <c r="B580" s="390">
        <v>906</v>
      </c>
      <c r="C580" s="392" t="s">
        <v>264</v>
      </c>
      <c r="D580" s="392" t="s">
        <v>118</v>
      </c>
      <c r="E580" s="392" t="s">
        <v>1256</v>
      </c>
      <c r="F580" s="392" t="s">
        <v>273</v>
      </c>
      <c r="G580" s="397">
        <f>'[1]Пр.5 ведом.21'!G568</f>
        <v>0</v>
      </c>
      <c r="H580" s="397">
        <f t="shared" si="51"/>
        <v>0</v>
      </c>
      <c r="I580" s="192"/>
    </row>
    <row r="581" spans="1:9" ht="15.75" hidden="1" x14ac:dyDescent="0.25">
      <c r="A581" s="396" t="s">
        <v>274</v>
      </c>
      <c r="B581" s="390">
        <v>906</v>
      </c>
      <c r="C581" s="392" t="s">
        <v>264</v>
      </c>
      <c r="D581" s="392" t="s">
        <v>118</v>
      </c>
      <c r="E581" s="392" t="s">
        <v>1256</v>
      </c>
      <c r="F581" s="392" t="s">
        <v>275</v>
      </c>
      <c r="G581" s="397">
        <f>'[1]Пр.5 ведом.21'!G569</f>
        <v>0</v>
      </c>
      <c r="H581" s="397">
        <f t="shared" si="51"/>
        <v>0</v>
      </c>
      <c r="I581" s="192"/>
    </row>
    <row r="582" spans="1:9" ht="31.5" x14ac:dyDescent="0.25">
      <c r="A582" s="60" t="s">
        <v>764</v>
      </c>
      <c r="B582" s="390">
        <v>906</v>
      </c>
      <c r="C582" s="392" t="s">
        <v>264</v>
      </c>
      <c r="D582" s="392" t="s">
        <v>118</v>
      </c>
      <c r="E582" s="392" t="s">
        <v>1239</v>
      </c>
      <c r="F582" s="392"/>
      <c r="G582" s="397">
        <f>G583</f>
        <v>3088</v>
      </c>
      <c r="H582" s="397">
        <f>H583</f>
        <v>3088</v>
      </c>
      <c r="I582" s="192"/>
    </row>
    <row r="583" spans="1:9" ht="31.5" x14ac:dyDescent="0.25">
      <c r="A583" s="29" t="s">
        <v>272</v>
      </c>
      <c r="B583" s="390">
        <v>906</v>
      </c>
      <c r="C583" s="392" t="s">
        <v>264</v>
      </c>
      <c r="D583" s="392" t="s">
        <v>118</v>
      </c>
      <c r="E583" s="392" t="s">
        <v>1239</v>
      </c>
      <c r="F583" s="392" t="s">
        <v>273</v>
      </c>
      <c r="G583" s="397">
        <f>G584</f>
        <v>3088</v>
      </c>
      <c r="H583" s="397">
        <f>H584</f>
        <v>3088</v>
      </c>
      <c r="I583" s="192"/>
    </row>
    <row r="584" spans="1:9" ht="15.75" x14ac:dyDescent="0.25">
      <c r="A584" s="180" t="s">
        <v>274</v>
      </c>
      <c r="B584" s="390">
        <v>906</v>
      </c>
      <c r="C584" s="392" t="s">
        <v>264</v>
      </c>
      <c r="D584" s="392" t="s">
        <v>118</v>
      </c>
      <c r="E584" s="392" t="s">
        <v>1239</v>
      </c>
      <c r="F584" s="392" t="s">
        <v>275</v>
      </c>
      <c r="G584" s="397">
        <v>3088</v>
      </c>
      <c r="H584" s="397">
        <f t="shared" si="51"/>
        <v>3088</v>
      </c>
      <c r="I584" s="192"/>
    </row>
    <row r="585" spans="1:9" ht="47.25" x14ac:dyDescent="0.25">
      <c r="A585" s="60" t="s">
        <v>765</v>
      </c>
      <c r="B585" s="390">
        <v>906</v>
      </c>
      <c r="C585" s="392" t="s">
        <v>264</v>
      </c>
      <c r="D585" s="392" t="s">
        <v>118</v>
      </c>
      <c r="E585" s="392" t="s">
        <v>1240</v>
      </c>
      <c r="F585" s="392"/>
      <c r="G585" s="397">
        <f>G586</f>
        <v>1760</v>
      </c>
      <c r="H585" s="397">
        <f>H586</f>
        <v>1760</v>
      </c>
      <c r="I585" s="192"/>
    </row>
    <row r="586" spans="1:9" ht="31.5" x14ac:dyDescent="0.25">
      <c r="A586" s="29" t="s">
        <v>272</v>
      </c>
      <c r="B586" s="390">
        <v>906</v>
      </c>
      <c r="C586" s="392" t="s">
        <v>264</v>
      </c>
      <c r="D586" s="392" t="s">
        <v>118</v>
      </c>
      <c r="E586" s="392" t="s">
        <v>1240</v>
      </c>
      <c r="F586" s="392" t="s">
        <v>273</v>
      </c>
      <c r="G586" s="397">
        <f>G587</f>
        <v>1760</v>
      </c>
      <c r="H586" s="397">
        <f>H587</f>
        <v>1760</v>
      </c>
      <c r="I586" s="192"/>
    </row>
    <row r="587" spans="1:9" ht="15.75" x14ac:dyDescent="0.25">
      <c r="A587" s="180" t="s">
        <v>274</v>
      </c>
      <c r="B587" s="390">
        <v>906</v>
      </c>
      <c r="C587" s="392" t="s">
        <v>264</v>
      </c>
      <c r="D587" s="392" t="s">
        <v>118</v>
      </c>
      <c r="E587" s="392" t="s">
        <v>1240</v>
      </c>
      <c r="F587" s="392" t="s">
        <v>275</v>
      </c>
      <c r="G587" s="397">
        <f>1760</f>
        <v>1760</v>
      </c>
      <c r="H587" s="397">
        <f t="shared" si="51"/>
        <v>1760</v>
      </c>
      <c r="I587" s="192"/>
    </row>
    <row r="588" spans="1:9" ht="63" x14ac:dyDescent="0.25">
      <c r="A588" s="394" t="s">
        <v>932</v>
      </c>
      <c r="B588" s="391">
        <v>906</v>
      </c>
      <c r="C588" s="395" t="s">
        <v>264</v>
      </c>
      <c r="D588" s="395" t="s">
        <v>118</v>
      </c>
      <c r="E588" s="395" t="s">
        <v>1241</v>
      </c>
      <c r="F588" s="395"/>
      <c r="G588" s="393">
        <f t="shared" ref="G588:H590" si="52">G589</f>
        <v>297.70000000000005</v>
      </c>
      <c r="H588" s="393">
        <f t="shared" si="52"/>
        <v>297.70000000000005</v>
      </c>
      <c r="I588" s="192"/>
    </row>
    <row r="589" spans="1:9" ht="115.5" customHeight="1" x14ac:dyDescent="0.25">
      <c r="A589" s="396" t="s">
        <v>1491</v>
      </c>
      <c r="B589" s="390">
        <v>906</v>
      </c>
      <c r="C589" s="392" t="s">
        <v>264</v>
      </c>
      <c r="D589" s="392" t="s">
        <v>118</v>
      </c>
      <c r="E589" s="392" t="s">
        <v>1242</v>
      </c>
      <c r="F589" s="392"/>
      <c r="G589" s="397">
        <f t="shared" si="52"/>
        <v>297.70000000000005</v>
      </c>
      <c r="H589" s="397">
        <f t="shared" si="52"/>
        <v>297.70000000000005</v>
      </c>
      <c r="I589" s="192"/>
    </row>
    <row r="590" spans="1:9" ht="31.5" x14ac:dyDescent="0.25">
      <c r="A590" s="29" t="s">
        <v>272</v>
      </c>
      <c r="B590" s="390">
        <v>906</v>
      </c>
      <c r="C590" s="392" t="s">
        <v>264</v>
      </c>
      <c r="D590" s="392" t="s">
        <v>118</v>
      </c>
      <c r="E590" s="392" t="s">
        <v>1242</v>
      </c>
      <c r="F590" s="392" t="s">
        <v>273</v>
      </c>
      <c r="G590" s="397">
        <f t="shared" si="52"/>
        <v>297.70000000000005</v>
      </c>
      <c r="H590" s="397">
        <f t="shared" si="52"/>
        <v>297.70000000000005</v>
      </c>
      <c r="I590" s="192"/>
    </row>
    <row r="591" spans="1:9" ht="15.75" x14ac:dyDescent="0.25">
      <c r="A591" s="180" t="s">
        <v>274</v>
      </c>
      <c r="B591" s="390">
        <v>906</v>
      </c>
      <c r="C591" s="392" t="s">
        <v>264</v>
      </c>
      <c r="D591" s="392" t="s">
        <v>118</v>
      </c>
      <c r="E591" s="392" t="s">
        <v>1242</v>
      </c>
      <c r="F591" s="392" t="s">
        <v>275</v>
      </c>
      <c r="G591" s="397">
        <f>124.4+173.3</f>
        <v>297.70000000000005</v>
      </c>
      <c r="H591" s="397">
        <f t="shared" si="51"/>
        <v>297.70000000000005</v>
      </c>
      <c r="I591" s="192"/>
    </row>
    <row r="592" spans="1:9" ht="94.5" x14ac:dyDescent="0.25">
      <c r="A592" s="394" t="s">
        <v>1164</v>
      </c>
      <c r="B592" s="391">
        <v>906</v>
      </c>
      <c r="C592" s="395" t="s">
        <v>264</v>
      </c>
      <c r="D592" s="395" t="s">
        <v>118</v>
      </c>
      <c r="E592" s="395" t="s">
        <v>1244</v>
      </c>
      <c r="F592" s="395"/>
      <c r="G592" s="393">
        <f>G593+G596</f>
        <v>1666.6</v>
      </c>
      <c r="H592" s="393">
        <f>H593+H596</f>
        <v>915</v>
      </c>
      <c r="I592" s="192"/>
    </row>
    <row r="593" spans="1:9" ht="94.5" hidden="1" x14ac:dyDescent="0.25">
      <c r="A593" s="148" t="s">
        <v>1183</v>
      </c>
      <c r="B593" s="390">
        <v>906</v>
      </c>
      <c r="C593" s="392" t="s">
        <v>264</v>
      </c>
      <c r="D593" s="392" t="s">
        <v>118</v>
      </c>
      <c r="E593" s="392" t="s">
        <v>1245</v>
      </c>
      <c r="F593" s="392"/>
      <c r="G593" s="397">
        <f>G594</f>
        <v>0</v>
      </c>
      <c r="H593" s="397">
        <f>H594</f>
        <v>0</v>
      </c>
      <c r="I593" s="192"/>
    </row>
    <row r="594" spans="1:9" ht="31.5" hidden="1" x14ac:dyDescent="0.25">
      <c r="A594" s="396" t="s">
        <v>272</v>
      </c>
      <c r="B594" s="390">
        <v>906</v>
      </c>
      <c r="C594" s="392" t="s">
        <v>264</v>
      </c>
      <c r="D594" s="392" t="s">
        <v>118</v>
      </c>
      <c r="E594" s="392" t="s">
        <v>1245</v>
      </c>
      <c r="F594" s="392" t="s">
        <v>273</v>
      </c>
      <c r="G594" s="397">
        <f>G595</f>
        <v>0</v>
      </c>
      <c r="H594" s="397">
        <f>H595</f>
        <v>0</v>
      </c>
      <c r="I594" s="192"/>
    </row>
    <row r="595" spans="1:9" ht="15.75" hidden="1" x14ac:dyDescent="0.25">
      <c r="A595" s="396" t="s">
        <v>274</v>
      </c>
      <c r="B595" s="390">
        <v>906</v>
      </c>
      <c r="C595" s="392" t="s">
        <v>264</v>
      </c>
      <c r="D595" s="392" t="s">
        <v>118</v>
      </c>
      <c r="E595" s="392" t="s">
        <v>1245</v>
      </c>
      <c r="F595" s="392" t="s">
        <v>275</v>
      </c>
      <c r="G595" s="397">
        <v>0</v>
      </c>
      <c r="H595" s="397">
        <v>0</v>
      </c>
      <c r="I595" s="192"/>
    </row>
    <row r="596" spans="1:9" ht="96.4" customHeight="1" x14ac:dyDescent="0.25">
      <c r="A596" s="148" t="s">
        <v>1474</v>
      </c>
      <c r="B596" s="390">
        <v>906</v>
      </c>
      <c r="C596" s="392" t="s">
        <v>264</v>
      </c>
      <c r="D596" s="392" t="s">
        <v>118</v>
      </c>
      <c r="E596" s="392" t="s">
        <v>1245</v>
      </c>
      <c r="F596" s="392"/>
      <c r="G596" s="397">
        <f>G597</f>
        <v>1666.6</v>
      </c>
      <c r="H596" s="397">
        <f>H597</f>
        <v>915</v>
      </c>
      <c r="I596" s="192"/>
    </row>
    <row r="597" spans="1:9" ht="31.5" x14ac:dyDescent="0.25">
      <c r="A597" s="396" t="s">
        <v>272</v>
      </c>
      <c r="B597" s="390">
        <v>906</v>
      </c>
      <c r="C597" s="392" t="s">
        <v>264</v>
      </c>
      <c r="D597" s="392" t="s">
        <v>118</v>
      </c>
      <c r="E597" s="392" t="s">
        <v>1245</v>
      </c>
      <c r="F597" s="392" t="s">
        <v>273</v>
      </c>
      <c r="G597" s="397">
        <f>G598</f>
        <v>1666.6</v>
      </c>
      <c r="H597" s="397">
        <f>H598</f>
        <v>915</v>
      </c>
      <c r="I597" s="192"/>
    </row>
    <row r="598" spans="1:9" ht="15.75" x14ac:dyDescent="0.25">
      <c r="A598" s="396" t="s">
        <v>274</v>
      </c>
      <c r="B598" s="390">
        <v>906</v>
      </c>
      <c r="C598" s="392" t="s">
        <v>264</v>
      </c>
      <c r="D598" s="392" t="s">
        <v>118</v>
      </c>
      <c r="E598" s="392" t="s">
        <v>1245</v>
      </c>
      <c r="F598" s="392" t="s">
        <v>275</v>
      </c>
      <c r="G598" s="397">
        <f>1666.6</f>
        <v>1666.6</v>
      </c>
      <c r="H598" s="397">
        <v>915</v>
      </c>
      <c r="I598" s="192"/>
    </row>
    <row r="599" spans="1:9" ht="47.25" x14ac:dyDescent="0.25">
      <c r="A599" s="34" t="s">
        <v>1356</v>
      </c>
      <c r="B599" s="391">
        <v>906</v>
      </c>
      <c r="C599" s="395" t="s">
        <v>264</v>
      </c>
      <c r="D599" s="395" t="s">
        <v>118</v>
      </c>
      <c r="E599" s="395" t="s">
        <v>324</v>
      </c>
      <c r="F599" s="395"/>
      <c r="G599" s="393">
        <f t="shared" ref="G599:H602" si="53">G600</f>
        <v>80</v>
      </c>
      <c r="H599" s="393">
        <f t="shared" si="53"/>
        <v>25</v>
      </c>
      <c r="I599" s="192"/>
    </row>
    <row r="600" spans="1:9" ht="63" x14ac:dyDescent="0.25">
      <c r="A600" s="34" t="s">
        <v>1008</v>
      </c>
      <c r="B600" s="391">
        <v>906</v>
      </c>
      <c r="C600" s="395" t="s">
        <v>264</v>
      </c>
      <c r="D600" s="395" t="s">
        <v>118</v>
      </c>
      <c r="E600" s="395" t="s">
        <v>933</v>
      </c>
      <c r="F600" s="395"/>
      <c r="G600" s="393">
        <f t="shared" si="53"/>
        <v>80</v>
      </c>
      <c r="H600" s="393">
        <f t="shared" si="53"/>
        <v>25</v>
      </c>
      <c r="I600" s="192"/>
    </row>
    <row r="601" spans="1:9" ht="47.25" x14ac:dyDescent="0.25">
      <c r="A601" s="31" t="s">
        <v>1082</v>
      </c>
      <c r="B601" s="390">
        <v>906</v>
      </c>
      <c r="C601" s="392" t="s">
        <v>264</v>
      </c>
      <c r="D601" s="392" t="s">
        <v>118</v>
      </c>
      <c r="E601" s="392" t="s">
        <v>934</v>
      </c>
      <c r="F601" s="392"/>
      <c r="G601" s="397">
        <f t="shared" si="53"/>
        <v>80</v>
      </c>
      <c r="H601" s="397">
        <f t="shared" si="53"/>
        <v>25</v>
      </c>
      <c r="I601" s="192"/>
    </row>
    <row r="602" spans="1:9" ht="31.5" x14ac:dyDescent="0.25">
      <c r="A602" s="31" t="s">
        <v>272</v>
      </c>
      <c r="B602" s="390">
        <v>906</v>
      </c>
      <c r="C602" s="392" t="s">
        <v>264</v>
      </c>
      <c r="D602" s="392" t="s">
        <v>118</v>
      </c>
      <c r="E602" s="392" t="s">
        <v>934</v>
      </c>
      <c r="F602" s="392" t="s">
        <v>273</v>
      </c>
      <c r="G602" s="397">
        <f t="shared" si="53"/>
        <v>80</v>
      </c>
      <c r="H602" s="397">
        <f t="shared" si="53"/>
        <v>25</v>
      </c>
      <c r="I602" s="192"/>
    </row>
    <row r="603" spans="1:9" ht="15.75" x14ac:dyDescent="0.25">
      <c r="A603" s="31" t="s">
        <v>274</v>
      </c>
      <c r="B603" s="390">
        <v>906</v>
      </c>
      <c r="C603" s="392" t="s">
        <v>264</v>
      </c>
      <c r="D603" s="392" t="s">
        <v>118</v>
      </c>
      <c r="E603" s="392" t="s">
        <v>934</v>
      </c>
      <c r="F603" s="392" t="s">
        <v>275</v>
      </c>
      <c r="G603" s="397">
        <v>80</v>
      </c>
      <c r="H603" s="397">
        <v>25</v>
      </c>
      <c r="I603" s="192"/>
    </row>
    <row r="604" spans="1:9" ht="47.25" x14ac:dyDescent="0.25">
      <c r="A604" s="400" t="s">
        <v>1351</v>
      </c>
      <c r="B604" s="391">
        <v>906</v>
      </c>
      <c r="C604" s="395" t="s">
        <v>264</v>
      </c>
      <c r="D604" s="395" t="s">
        <v>118</v>
      </c>
      <c r="E604" s="395" t="s">
        <v>705</v>
      </c>
      <c r="F604" s="403"/>
      <c r="G604" s="393">
        <f>G606</f>
        <v>570.9</v>
      </c>
      <c r="H604" s="393">
        <f>H606</f>
        <v>593.79999999999995</v>
      </c>
      <c r="I604" s="192"/>
    </row>
    <row r="605" spans="1:9" ht="47.25" x14ac:dyDescent="0.25">
      <c r="A605" s="400" t="s">
        <v>889</v>
      </c>
      <c r="B605" s="391">
        <v>906</v>
      </c>
      <c r="C605" s="395" t="s">
        <v>264</v>
      </c>
      <c r="D605" s="395" t="s">
        <v>118</v>
      </c>
      <c r="E605" s="395" t="s">
        <v>887</v>
      </c>
      <c r="F605" s="403"/>
      <c r="G605" s="393">
        <f t="shared" ref="G605:H607" si="54">G606</f>
        <v>570.9</v>
      </c>
      <c r="H605" s="393">
        <f t="shared" si="54"/>
        <v>593.79999999999995</v>
      </c>
      <c r="I605" s="192"/>
    </row>
    <row r="606" spans="1:9" ht="47.25" x14ac:dyDescent="0.25">
      <c r="A606" s="98" t="s">
        <v>780</v>
      </c>
      <c r="B606" s="390">
        <v>906</v>
      </c>
      <c r="C606" s="392" t="s">
        <v>264</v>
      </c>
      <c r="D606" s="392" t="s">
        <v>118</v>
      </c>
      <c r="E606" s="392" t="s">
        <v>935</v>
      </c>
      <c r="F606" s="398"/>
      <c r="G606" s="397">
        <f t="shared" si="54"/>
        <v>570.9</v>
      </c>
      <c r="H606" s="397">
        <f t="shared" si="54"/>
        <v>593.79999999999995</v>
      </c>
      <c r="I606" s="192"/>
    </row>
    <row r="607" spans="1:9" ht="31.5" x14ac:dyDescent="0.25">
      <c r="A607" s="29" t="s">
        <v>272</v>
      </c>
      <c r="B607" s="390">
        <v>906</v>
      </c>
      <c r="C607" s="392" t="s">
        <v>264</v>
      </c>
      <c r="D607" s="392" t="s">
        <v>118</v>
      </c>
      <c r="E607" s="392" t="s">
        <v>935</v>
      </c>
      <c r="F607" s="398" t="s">
        <v>273</v>
      </c>
      <c r="G607" s="397">
        <f t="shared" si="54"/>
        <v>570.9</v>
      </c>
      <c r="H607" s="397">
        <f t="shared" si="54"/>
        <v>593.79999999999995</v>
      </c>
      <c r="I607" s="192"/>
    </row>
    <row r="608" spans="1:9" ht="15.75" x14ac:dyDescent="0.25">
      <c r="A608" s="180" t="s">
        <v>274</v>
      </c>
      <c r="B608" s="390">
        <v>906</v>
      </c>
      <c r="C608" s="392" t="s">
        <v>264</v>
      </c>
      <c r="D608" s="392" t="s">
        <v>118</v>
      </c>
      <c r="E608" s="392" t="s">
        <v>935</v>
      </c>
      <c r="F608" s="398" t="s">
        <v>275</v>
      </c>
      <c r="G608" s="397">
        <v>570.9</v>
      </c>
      <c r="H608" s="397">
        <v>593.79999999999995</v>
      </c>
      <c r="I608" s="192"/>
    </row>
    <row r="609" spans="1:13" ht="15.75" x14ac:dyDescent="0.25">
      <c r="A609" s="394" t="s">
        <v>425</v>
      </c>
      <c r="B609" s="391">
        <v>906</v>
      </c>
      <c r="C609" s="395" t="s">
        <v>264</v>
      </c>
      <c r="D609" s="395" t="s">
        <v>213</v>
      </c>
      <c r="E609" s="395"/>
      <c r="F609" s="395"/>
      <c r="G609" s="393">
        <f>G610+G686+G681</f>
        <v>177341.49999999997</v>
      </c>
      <c r="H609" s="393">
        <f>H610+H686+H681</f>
        <v>196805.15000000002</v>
      </c>
      <c r="I609" s="192"/>
      <c r="M609" s="216"/>
    </row>
    <row r="610" spans="1:13" ht="31.5" x14ac:dyDescent="0.25">
      <c r="A610" s="394" t="s">
        <v>1355</v>
      </c>
      <c r="B610" s="391">
        <v>906</v>
      </c>
      <c r="C610" s="395" t="s">
        <v>264</v>
      </c>
      <c r="D610" s="395" t="s">
        <v>213</v>
      </c>
      <c r="E610" s="395" t="s">
        <v>406</v>
      </c>
      <c r="F610" s="395"/>
      <c r="G610" s="393">
        <f>G611+G615+G634+G647+G654+G658+G662+G673+G669+G677</f>
        <v>176410.99999999997</v>
      </c>
      <c r="H610" s="393">
        <f>H611+H615+H634+H647+H654+H658+H662+H673+H669+H677</f>
        <v>195829.85000000003</v>
      </c>
      <c r="I610" s="192"/>
    </row>
    <row r="611" spans="1:13" ht="31.5" x14ac:dyDescent="0.25">
      <c r="A611" s="394" t="s">
        <v>936</v>
      </c>
      <c r="B611" s="391">
        <v>906</v>
      </c>
      <c r="C611" s="395" t="s">
        <v>264</v>
      </c>
      <c r="D611" s="395" t="s">
        <v>213</v>
      </c>
      <c r="E611" s="395" t="s">
        <v>1228</v>
      </c>
      <c r="F611" s="395"/>
      <c r="G611" s="393">
        <f t="shared" ref="G611:H613" si="55">G612</f>
        <v>28690.799999999999</v>
      </c>
      <c r="H611" s="393">
        <f t="shared" si="55"/>
        <v>28690.799999999999</v>
      </c>
      <c r="I611" s="192"/>
    </row>
    <row r="612" spans="1:13" ht="47.25" x14ac:dyDescent="0.25">
      <c r="A612" s="396" t="s">
        <v>427</v>
      </c>
      <c r="B612" s="390">
        <v>906</v>
      </c>
      <c r="C612" s="392" t="s">
        <v>264</v>
      </c>
      <c r="D612" s="392" t="s">
        <v>213</v>
      </c>
      <c r="E612" s="392" t="s">
        <v>1247</v>
      </c>
      <c r="F612" s="392"/>
      <c r="G612" s="397">
        <f t="shared" si="55"/>
        <v>28690.799999999999</v>
      </c>
      <c r="H612" s="397">
        <f t="shared" si="55"/>
        <v>28690.799999999999</v>
      </c>
      <c r="I612" s="192"/>
    </row>
    <row r="613" spans="1:13" ht="31.5" x14ac:dyDescent="0.25">
      <c r="A613" s="396" t="s">
        <v>272</v>
      </c>
      <c r="B613" s="390">
        <v>906</v>
      </c>
      <c r="C613" s="392" t="s">
        <v>264</v>
      </c>
      <c r="D613" s="392" t="s">
        <v>213</v>
      </c>
      <c r="E613" s="392" t="s">
        <v>1247</v>
      </c>
      <c r="F613" s="392" t="s">
        <v>273</v>
      </c>
      <c r="G613" s="397">
        <f t="shared" si="55"/>
        <v>28690.799999999999</v>
      </c>
      <c r="H613" s="397">
        <f t="shared" si="55"/>
        <v>28690.799999999999</v>
      </c>
      <c r="I613" s="192"/>
    </row>
    <row r="614" spans="1:13" ht="15.75" x14ac:dyDescent="0.25">
      <c r="A614" s="396" t="s">
        <v>274</v>
      </c>
      <c r="B614" s="390">
        <v>906</v>
      </c>
      <c r="C614" s="392" t="s">
        <v>264</v>
      </c>
      <c r="D614" s="392" t="s">
        <v>213</v>
      </c>
      <c r="E614" s="392" t="s">
        <v>1247</v>
      </c>
      <c r="F614" s="392" t="s">
        <v>275</v>
      </c>
      <c r="G614" s="397">
        <v>28690.799999999999</v>
      </c>
      <c r="H614" s="397">
        <f t="shared" si="51"/>
        <v>28690.799999999999</v>
      </c>
      <c r="I614" s="192"/>
    </row>
    <row r="615" spans="1:13" ht="47.25" x14ac:dyDescent="0.25">
      <c r="A615" s="394" t="s">
        <v>899</v>
      </c>
      <c r="B615" s="391">
        <v>906</v>
      </c>
      <c r="C615" s="395" t="s">
        <v>264</v>
      </c>
      <c r="D615" s="395" t="s">
        <v>213</v>
      </c>
      <c r="E615" s="395" t="s">
        <v>1230</v>
      </c>
      <c r="F615" s="395"/>
      <c r="G615" s="44">
        <f>G622+G625+G628+G631+G619+G616</f>
        <v>131370.9</v>
      </c>
      <c r="H615" s="44">
        <f>H622+H625+H628+H631+H619+H616</f>
        <v>150534.80000000002</v>
      </c>
      <c r="I615" s="192"/>
      <c r="L615" s="216"/>
    </row>
    <row r="616" spans="1:13" ht="63" x14ac:dyDescent="0.25">
      <c r="A616" s="396" t="s">
        <v>1391</v>
      </c>
      <c r="B616" s="390">
        <v>906</v>
      </c>
      <c r="C616" s="392" t="s">
        <v>264</v>
      </c>
      <c r="D616" s="392" t="s">
        <v>213</v>
      </c>
      <c r="E616" s="392" t="s">
        <v>1392</v>
      </c>
      <c r="F616" s="392"/>
      <c r="G616" s="27">
        <f>G617</f>
        <v>7226.1</v>
      </c>
      <c r="H616" s="27">
        <f>H617</f>
        <v>7226.1</v>
      </c>
      <c r="I616" s="192"/>
    </row>
    <row r="617" spans="1:13" ht="31.5" x14ac:dyDescent="0.25">
      <c r="A617" s="396" t="s">
        <v>272</v>
      </c>
      <c r="B617" s="390">
        <v>906</v>
      </c>
      <c r="C617" s="392" t="s">
        <v>264</v>
      </c>
      <c r="D617" s="392" t="s">
        <v>213</v>
      </c>
      <c r="E617" s="392" t="s">
        <v>1392</v>
      </c>
      <c r="F617" s="392" t="s">
        <v>273</v>
      </c>
      <c r="G617" s="27">
        <f>G618</f>
        <v>7226.1</v>
      </c>
      <c r="H617" s="27">
        <f>H618</f>
        <v>7226.1</v>
      </c>
      <c r="I617" s="192"/>
    </row>
    <row r="618" spans="1:13" ht="15.75" x14ac:dyDescent="0.25">
      <c r="A618" s="396" t="s">
        <v>274</v>
      </c>
      <c r="B618" s="390">
        <v>906</v>
      </c>
      <c r="C618" s="392" t="s">
        <v>264</v>
      </c>
      <c r="D618" s="392" t="s">
        <v>213</v>
      </c>
      <c r="E618" s="392" t="s">
        <v>1392</v>
      </c>
      <c r="F618" s="392" t="s">
        <v>275</v>
      </c>
      <c r="G618" s="27">
        <v>7226.1</v>
      </c>
      <c r="H618" s="27">
        <v>7226.1</v>
      </c>
      <c r="I618" s="192"/>
    </row>
    <row r="619" spans="1:13" ht="94.5" x14ac:dyDescent="0.25">
      <c r="A619" s="31" t="s">
        <v>464</v>
      </c>
      <c r="B619" s="390">
        <v>906</v>
      </c>
      <c r="C619" s="392" t="s">
        <v>264</v>
      </c>
      <c r="D619" s="392" t="s">
        <v>213</v>
      </c>
      <c r="E619" s="392" t="s">
        <v>1389</v>
      </c>
      <c r="F619" s="392"/>
      <c r="G619" s="397">
        <f>G620</f>
        <v>4610</v>
      </c>
      <c r="H619" s="397">
        <f>H620</f>
        <v>4610</v>
      </c>
      <c r="I619" s="192"/>
    </row>
    <row r="620" spans="1:13" ht="31.5" x14ac:dyDescent="0.25">
      <c r="A620" s="396" t="s">
        <v>272</v>
      </c>
      <c r="B620" s="390">
        <v>906</v>
      </c>
      <c r="C620" s="392" t="s">
        <v>264</v>
      </c>
      <c r="D620" s="392" t="s">
        <v>213</v>
      </c>
      <c r="E620" s="392" t="s">
        <v>1389</v>
      </c>
      <c r="F620" s="392" t="s">
        <v>273</v>
      </c>
      <c r="G620" s="397">
        <f>G621</f>
        <v>4610</v>
      </c>
      <c r="H620" s="397">
        <f>H621</f>
        <v>4610</v>
      </c>
      <c r="I620" s="192"/>
    </row>
    <row r="621" spans="1:13" ht="15.75" x14ac:dyDescent="0.25">
      <c r="A621" s="396" t="s">
        <v>274</v>
      </c>
      <c r="B621" s="390">
        <v>906</v>
      </c>
      <c r="C621" s="392" t="s">
        <v>264</v>
      </c>
      <c r="D621" s="392" t="s">
        <v>213</v>
      </c>
      <c r="E621" s="392" t="s">
        <v>1389</v>
      </c>
      <c r="F621" s="392" t="s">
        <v>275</v>
      </c>
      <c r="G621" s="397">
        <v>4610</v>
      </c>
      <c r="H621" s="397">
        <f>G621</f>
        <v>4610</v>
      </c>
      <c r="I621" s="192"/>
    </row>
    <row r="622" spans="1:13" ht="78.75" x14ac:dyDescent="0.25">
      <c r="A622" s="31" t="s">
        <v>460</v>
      </c>
      <c r="B622" s="390">
        <v>906</v>
      </c>
      <c r="C622" s="392" t="s">
        <v>264</v>
      </c>
      <c r="D622" s="392" t="s">
        <v>213</v>
      </c>
      <c r="E622" s="392" t="s">
        <v>1248</v>
      </c>
      <c r="F622" s="392"/>
      <c r="G622" s="397">
        <f>G623</f>
        <v>115047.8</v>
      </c>
      <c r="H622" s="397">
        <f>H623</f>
        <v>134211.70000000001</v>
      </c>
      <c r="I622" s="192"/>
    </row>
    <row r="623" spans="1:13" ht="31.5" x14ac:dyDescent="0.25">
      <c r="A623" s="396" t="s">
        <v>272</v>
      </c>
      <c r="B623" s="390">
        <v>906</v>
      </c>
      <c r="C623" s="392" t="s">
        <v>264</v>
      </c>
      <c r="D623" s="392" t="s">
        <v>213</v>
      </c>
      <c r="E623" s="392" t="s">
        <v>1248</v>
      </c>
      <c r="F623" s="392" t="s">
        <v>273</v>
      </c>
      <c r="G623" s="397">
        <f>G624</f>
        <v>115047.8</v>
      </c>
      <c r="H623" s="397">
        <f>H624</f>
        <v>134211.70000000001</v>
      </c>
      <c r="I623" s="192"/>
    </row>
    <row r="624" spans="1:13" ht="15.75" x14ac:dyDescent="0.25">
      <c r="A624" s="396" t="s">
        <v>274</v>
      </c>
      <c r="B624" s="390">
        <v>906</v>
      </c>
      <c r="C624" s="392" t="s">
        <v>264</v>
      </c>
      <c r="D624" s="392" t="s">
        <v>213</v>
      </c>
      <c r="E624" s="392" t="s">
        <v>1248</v>
      </c>
      <c r="F624" s="392" t="s">
        <v>275</v>
      </c>
      <c r="G624" s="397">
        <v>115047.8</v>
      </c>
      <c r="H624" s="397">
        <v>134211.70000000001</v>
      </c>
      <c r="I624" s="192"/>
    </row>
    <row r="625" spans="1:9" ht="63" x14ac:dyDescent="0.25">
      <c r="A625" s="31" t="s">
        <v>289</v>
      </c>
      <c r="B625" s="390">
        <v>906</v>
      </c>
      <c r="C625" s="392" t="s">
        <v>264</v>
      </c>
      <c r="D625" s="392" t="s">
        <v>213</v>
      </c>
      <c r="E625" s="392" t="s">
        <v>1231</v>
      </c>
      <c r="F625" s="392"/>
      <c r="G625" s="397">
        <f>G626</f>
        <v>1311</v>
      </c>
      <c r="H625" s="397">
        <f>H626</f>
        <v>1311</v>
      </c>
      <c r="I625" s="192"/>
    </row>
    <row r="626" spans="1:9" ht="31.5" x14ac:dyDescent="0.25">
      <c r="A626" s="396" t="s">
        <v>272</v>
      </c>
      <c r="B626" s="390">
        <v>906</v>
      </c>
      <c r="C626" s="392" t="s">
        <v>264</v>
      </c>
      <c r="D626" s="392" t="s">
        <v>213</v>
      </c>
      <c r="E626" s="392" t="s">
        <v>1231</v>
      </c>
      <c r="F626" s="392" t="s">
        <v>273</v>
      </c>
      <c r="G626" s="397">
        <f>G627</f>
        <v>1311</v>
      </c>
      <c r="H626" s="397">
        <f>H627</f>
        <v>1311</v>
      </c>
      <c r="I626" s="192"/>
    </row>
    <row r="627" spans="1:9" ht="15.75" x14ac:dyDescent="0.25">
      <c r="A627" s="396" t="s">
        <v>274</v>
      </c>
      <c r="B627" s="390">
        <v>906</v>
      </c>
      <c r="C627" s="392" t="s">
        <v>264</v>
      </c>
      <c r="D627" s="392" t="s">
        <v>213</v>
      </c>
      <c r="E627" s="392" t="s">
        <v>1231</v>
      </c>
      <c r="F627" s="392" t="s">
        <v>275</v>
      </c>
      <c r="G627" s="397">
        <v>1311</v>
      </c>
      <c r="H627" s="397">
        <f t="shared" si="51"/>
        <v>1311</v>
      </c>
      <c r="I627" s="192"/>
    </row>
    <row r="628" spans="1:9" ht="63" x14ac:dyDescent="0.25">
      <c r="A628" s="31" t="s">
        <v>291</v>
      </c>
      <c r="B628" s="390">
        <v>906</v>
      </c>
      <c r="C628" s="392" t="s">
        <v>264</v>
      </c>
      <c r="D628" s="392" t="s">
        <v>213</v>
      </c>
      <c r="E628" s="392" t="s">
        <v>1232</v>
      </c>
      <c r="F628" s="392"/>
      <c r="G628" s="397">
        <f>G629</f>
        <v>2266.6999999999998</v>
      </c>
      <c r="H628" s="397">
        <f>H629</f>
        <v>2266.6999999999998</v>
      </c>
      <c r="I628" s="192"/>
    </row>
    <row r="629" spans="1:9" ht="31.5" x14ac:dyDescent="0.25">
      <c r="A629" s="396" t="s">
        <v>272</v>
      </c>
      <c r="B629" s="390">
        <v>906</v>
      </c>
      <c r="C629" s="392" t="s">
        <v>264</v>
      </c>
      <c r="D629" s="392" t="s">
        <v>213</v>
      </c>
      <c r="E629" s="392" t="s">
        <v>1232</v>
      </c>
      <c r="F629" s="392" t="s">
        <v>273</v>
      </c>
      <c r="G629" s="397">
        <f>G630</f>
        <v>2266.6999999999998</v>
      </c>
      <c r="H629" s="397">
        <f>H630</f>
        <v>2266.6999999999998</v>
      </c>
      <c r="I629" s="192"/>
    </row>
    <row r="630" spans="1:9" ht="15.75" x14ac:dyDescent="0.25">
      <c r="A630" s="396" t="s">
        <v>274</v>
      </c>
      <c r="B630" s="390">
        <v>906</v>
      </c>
      <c r="C630" s="392" t="s">
        <v>264</v>
      </c>
      <c r="D630" s="392" t="s">
        <v>213</v>
      </c>
      <c r="E630" s="392" t="s">
        <v>1232</v>
      </c>
      <c r="F630" s="392" t="s">
        <v>275</v>
      </c>
      <c r="G630" s="397">
        <f>2266.7</f>
        <v>2266.6999999999998</v>
      </c>
      <c r="H630" s="397">
        <f t="shared" si="51"/>
        <v>2266.6999999999998</v>
      </c>
      <c r="I630" s="192"/>
    </row>
    <row r="631" spans="1:9" ht="47.25" x14ac:dyDescent="0.25">
      <c r="A631" s="31" t="s">
        <v>462</v>
      </c>
      <c r="B631" s="390">
        <v>906</v>
      </c>
      <c r="C631" s="392" t="s">
        <v>264</v>
      </c>
      <c r="D631" s="392" t="s">
        <v>213</v>
      </c>
      <c r="E631" s="392" t="s">
        <v>1249</v>
      </c>
      <c r="F631" s="392"/>
      <c r="G631" s="397">
        <f>G632</f>
        <v>909.3</v>
      </c>
      <c r="H631" s="397">
        <f>H632</f>
        <v>909.3</v>
      </c>
      <c r="I631" s="192"/>
    </row>
    <row r="632" spans="1:9" ht="31.5" x14ac:dyDescent="0.25">
      <c r="A632" s="396" t="s">
        <v>272</v>
      </c>
      <c r="B632" s="390">
        <v>906</v>
      </c>
      <c r="C632" s="392" t="s">
        <v>264</v>
      </c>
      <c r="D632" s="392" t="s">
        <v>213</v>
      </c>
      <c r="E632" s="392" t="s">
        <v>1249</v>
      </c>
      <c r="F632" s="392" t="s">
        <v>273</v>
      </c>
      <c r="G632" s="397">
        <f>G633</f>
        <v>909.3</v>
      </c>
      <c r="H632" s="397">
        <f>H633</f>
        <v>909.3</v>
      </c>
      <c r="I632" s="192"/>
    </row>
    <row r="633" spans="1:9" ht="15.75" x14ac:dyDescent="0.25">
      <c r="A633" s="396" t="s">
        <v>274</v>
      </c>
      <c r="B633" s="390">
        <v>906</v>
      </c>
      <c r="C633" s="392" t="s">
        <v>264</v>
      </c>
      <c r="D633" s="392" t="s">
        <v>213</v>
      </c>
      <c r="E633" s="392" t="s">
        <v>1249</v>
      </c>
      <c r="F633" s="392" t="s">
        <v>275</v>
      </c>
      <c r="G633" s="397">
        <v>909.3</v>
      </c>
      <c r="H633" s="397">
        <v>909.3</v>
      </c>
      <c r="I633" s="192"/>
    </row>
    <row r="634" spans="1:9" ht="31.5" x14ac:dyDescent="0.25">
      <c r="A634" s="394" t="s">
        <v>1250</v>
      </c>
      <c r="B634" s="236">
        <v>906</v>
      </c>
      <c r="C634" s="395" t="s">
        <v>264</v>
      </c>
      <c r="D634" s="395" t="s">
        <v>213</v>
      </c>
      <c r="E634" s="395" t="s">
        <v>1235</v>
      </c>
      <c r="F634" s="395"/>
      <c r="G634" s="393">
        <f>G635+G638+G641+G644</f>
        <v>224</v>
      </c>
      <c r="H634" s="393">
        <f>H635+H638+H641+H644</f>
        <v>224</v>
      </c>
      <c r="I634" s="192"/>
    </row>
    <row r="635" spans="1:9" ht="31.5" hidden="1" x14ac:dyDescent="0.25">
      <c r="A635" s="396" t="s">
        <v>440</v>
      </c>
      <c r="B635" s="37">
        <v>906</v>
      </c>
      <c r="C635" s="392" t="s">
        <v>264</v>
      </c>
      <c r="D635" s="392" t="s">
        <v>213</v>
      </c>
      <c r="E635" s="392" t="s">
        <v>1315</v>
      </c>
      <c r="F635" s="392"/>
      <c r="G635" s="397">
        <f>'[1]Пр.5 ведом.21'!G623</f>
        <v>0</v>
      </c>
      <c r="H635" s="397">
        <f t="shared" ref="H635:H706" si="56">G635</f>
        <v>0</v>
      </c>
      <c r="I635" s="192"/>
    </row>
    <row r="636" spans="1:9" ht="31.5" hidden="1" x14ac:dyDescent="0.25">
      <c r="A636" s="396" t="s">
        <v>272</v>
      </c>
      <c r="B636" s="37">
        <v>906</v>
      </c>
      <c r="C636" s="392" t="s">
        <v>264</v>
      </c>
      <c r="D636" s="392" t="s">
        <v>213</v>
      </c>
      <c r="E636" s="392" t="s">
        <v>1315</v>
      </c>
      <c r="F636" s="392" t="s">
        <v>273</v>
      </c>
      <c r="G636" s="397">
        <f>'[1]Пр.5 ведом.21'!G624</f>
        <v>0</v>
      </c>
      <c r="H636" s="397">
        <f t="shared" si="56"/>
        <v>0</v>
      </c>
      <c r="I636" s="192"/>
    </row>
    <row r="637" spans="1:9" ht="15.75" hidden="1" x14ac:dyDescent="0.25">
      <c r="A637" s="396" t="s">
        <v>274</v>
      </c>
      <c r="B637" s="37">
        <v>906</v>
      </c>
      <c r="C637" s="392" t="s">
        <v>264</v>
      </c>
      <c r="D637" s="392" t="s">
        <v>213</v>
      </c>
      <c r="E637" s="392" t="s">
        <v>1315</v>
      </c>
      <c r="F637" s="392" t="s">
        <v>275</v>
      </c>
      <c r="G637" s="397">
        <f>'[1]Пр.5 ведом.21'!G625</f>
        <v>0</v>
      </c>
      <c r="H637" s="397">
        <f t="shared" si="56"/>
        <v>0</v>
      </c>
      <c r="I637" s="192"/>
    </row>
    <row r="638" spans="1:9" ht="31.5" hidden="1" x14ac:dyDescent="0.25">
      <c r="A638" s="396" t="s">
        <v>278</v>
      </c>
      <c r="B638" s="37">
        <v>906</v>
      </c>
      <c r="C638" s="392" t="s">
        <v>264</v>
      </c>
      <c r="D638" s="392" t="s">
        <v>213</v>
      </c>
      <c r="E638" s="392" t="s">
        <v>1316</v>
      </c>
      <c r="F638" s="392"/>
      <c r="G638" s="397">
        <f>'[1]Пр.5 ведом.21'!G626</f>
        <v>0</v>
      </c>
      <c r="H638" s="397">
        <f t="shared" si="56"/>
        <v>0</v>
      </c>
      <c r="I638" s="192"/>
    </row>
    <row r="639" spans="1:9" ht="31.5" hidden="1" x14ac:dyDescent="0.25">
      <c r="A639" s="396" t="s">
        <v>272</v>
      </c>
      <c r="B639" s="37">
        <v>906</v>
      </c>
      <c r="C639" s="392" t="s">
        <v>264</v>
      </c>
      <c r="D639" s="392" t="s">
        <v>213</v>
      </c>
      <c r="E639" s="392" t="s">
        <v>1316</v>
      </c>
      <c r="F639" s="392" t="s">
        <v>273</v>
      </c>
      <c r="G639" s="397">
        <f>'[1]Пр.5 ведом.21'!G627</f>
        <v>0</v>
      </c>
      <c r="H639" s="397">
        <f t="shared" si="56"/>
        <v>0</v>
      </c>
      <c r="I639" s="192"/>
    </row>
    <row r="640" spans="1:9" ht="15.75" hidden="1" x14ac:dyDescent="0.25">
      <c r="A640" s="396" t="s">
        <v>274</v>
      </c>
      <c r="B640" s="37">
        <v>906</v>
      </c>
      <c r="C640" s="392" t="s">
        <v>264</v>
      </c>
      <c r="D640" s="392" t="s">
        <v>213</v>
      </c>
      <c r="E640" s="392" t="s">
        <v>1316</v>
      </c>
      <c r="F640" s="392" t="s">
        <v>275</v>
      </c>
      <c r="G640" s="397">
        <f>'[1]Пр.5 ведом.21'!G628</f>
        <v>0</v>
      </c>
      <c r="H640" s="397">
        <f t="shared" si="56"/>
        <v>0</v>
      </c>
      <c r="I640" s="192"/>
    </row>
    <row r="641" spans="1:9" ht="31.5" hidden="1" x14ac:dyDescent="0.25">
      <c r="A641" s="396" t="s">
        <v>280</v>
      </c>
      <c r="B641" s="37">
        <v>906</v>
      </c>
      <c r="C641" s="392" t="s">
        <v>264</v>
      </c>
      <c r="D641" s="392" t="s">
        <v>213</v>
      </c>
      <c r="E641" s="392" t="s">
        <v>1317</v>
      </c>
      <c r="F641" s="392"/>
      <c r="G641" s="397">
        <f>'[1]Пр.5 ведом.21'!G629</f>
        <v>0</v>
      </c>
      <c r="H641" s="397">
        <f t="shared" si="56"/>
        <v>0</v>
      </c>
      <c r="I641" s="192"/>
    </row>
    <row r="642" spans="1:9" ht="31.5" hidden="1" x14ac:dyDescent="0.25">
      <c r="A642" s="396" t="s">
        <v>272</v>
      </c>
      <c r="B642" s="37">
        <v>906</v>
      </c>
      <c r="C642" s="392" t="s">
        <v>264</v>
      </c>
      <c r="D642" s="392" t="s">
        <v>213</v>
      </c>
      <c r="E642" s="392" t="s">
        <v>1317</v>
      </c>
      <c r="F642" s="392" t="s">
        <v>273</v>
      </c>
      <c r="G642" s="397">
        <f>'[1]Пр.5 ведом.21'!G630</f>
        <v>0</v>
      </c>
      <c r="H642" s="397">
        <f t="shared" si="56"/>
        <v>0</v>
      </c>
      <c r="I642" s="192"/>
    </row>
    <row r="643" spans="1:9" ht="15.75" hidden="1" x14ac:dyDescent="0.25">
      <c r="A643" s="396" t="s">
        <v>274</v>
      </c>
      <c r="B643" s="37">
        <v>906</v>
      </c>
      <c r="C643" s="392" t="s">
        <v>264</v>
      </c>
      <c r="D643" s="392" t="s">
        <v>213</v>
      </c>
      <c r="E643" s="392" t="s">
        <v>1317</v>
      </c>
      <c r="F643" s="392" t="s">
        <v>275</v>
      </c>
      <c r="G643" s="397">
        <f>'[1]Пр.5 ведом.21'!G631</f>
        <v>0</v>
      </c>
      <c r="H643" s="397">
        <f t="shared" si="56"/>
        <v>0</v>
      </c>
      <c r="I643" s="192"/>
    </row>
    <row r="644" spans="1:9" ht="31.5" x14ac:dyDescent="0.25">
      <c r="A644" s="396" t="s">
        <v>282</v>
      </c>
      <c r="B644" s="37">
        <v>906</v>
      </c>
      <c r="C644" s="392" t="s">
        <v>264</v>
      </c>
      <c r="D644" s="392" t="s">
        <v>213</v>
      </c>
      <c r="E644" s="392" t="s">
        <v>1251</v>
      </c>
      <c r="F644" s="392"/>
      <c r="G644" s="397">
        <f>G645</f>
        <v>224</v>
      </c>
      <c r="H644" s="397">
        <f>H645</f>
        <v>224</v>
      </c>
      <c r="I644" s="192"/>
    </row>
    <row r="645" spans="1:9" ht="31.5" x14ac:dyDescent="0.25">
      <c r="A645" s="396" t="s">
        <v>272</v>
      </c>
      <c r="B645" s="37">
        <v>906</v>
      </c>
      <c r="C645" s="392" t="s">
        <v>264</v>
      </c>
      <c r="D645" s="392" t="s">
        <v>213</v>
      </c>
      <c r="E645" s="392" t="s">
        <v>1251</v>
      </c>
      <c r="F645" s="392" t="s">
        <v>273</v>
      </c>
      <c r="G645" s="397">
        <f>G646</f>
        <v>224</v>
      </c>
      <c r="H645" s="397">
        <f>H646</f>
        <v>224</v>
      </c>
      <c r="I645" s="192"/>
    </row>
    <row r="646" spans="1:9" ht="15.75" x14ac:dyDescent="0.25">
      <c r="A646" s="396" t="s">
        <v>274</v>
      </c>
      <c r="B646" s="37">
        <v>906</v>
      </c>
      <c r="C646" s="392" t="s">
        <v>264</v>
      </c>
      <c r="D646" s="392" t="s">
        <v>213</v>
      </c>
      <c r="E646" s="392" t="s">
        <v>1251</v>
      </c>
      <c r="F646" s="392" t="s">
        <v>275</v>
      </c>
      <c r="G646" s="397">
        <f>224</f>
        <v>224</v>
      </c>
      <c r="H646" s="397">
        <f t="shared" si="56"/>
        <v>224</v>
      </c>
      <c r="I646" s="192"/>
    </row>
    <row r="647" spans="1:9" ht="31.5" x14ac:dyDescent="0.25">
      <c r="A647" s="203" t="s">
        <v>947</v>
      </c>
      <c r="B647" s="391">
        <v>906</v>
      </c>
      <c r="C647" s="395" t="s">
        <v>264</v>
      </c>
      <c r="D647" s="395" t="s">
        <v>213</v>
      </c>
      <c r="E647" s="395" t="s">
        <v>1238</v>
      </c>
      <c r="F647" s="395"/>
      <c r="G647" s="44">
        <f>G648+G651</f>
        <v>2888</v>
      </c>
      <c r="H647" s="44">
        <f>H648+H651</f>
        <v>2888</v>
      </c>
      <c r="I647" s="192"/>
    </row>
    <row r="648" spans="1:9" ht="31.5" hidden="1" x14ac:dyDescent="0.25">
      <c r="A648" s="396" t="s">
        <v>791</v>
      </c>
      <c r="B648" s="390">
        <v>906</v>
      </c>
      <c r="C648" s="392" t="s">
        <v>264</v>
      </c>
      <c r="D648" s="392" t="s">
        <v>213</v>
      </c>
      <c r="E648" s="392" t="s">
        <v>1256</v>
      </c>
      <c r="F648" s="392"/>
      <c r="G648" s="397">
        <f>'[1]Пр.5 ведом.21'!G636</f>
        <v>0</v>
      </c>
      <c r="H648" s="397">
        <f>G648</f>
        <v>0</v>
      </c>
      <c r="I648" s="192"/>
    </row>
    <row r="649" spans="1:9" ht="31.5" hidden="1" x14ac:dyDescent="0.25">
      <c r="A649" s="396" t="s">
        <v>272</v>
      </c>
      <c r="B649" s="390">
        <v>906</v>
      </c>
      <c r="C649" s="392" t="s">
        <v>264</v>
      </c>
      <c r="D649" s="392" t="s">
        <v>213</v>
      </c>
      <c r="E649" s="392" t="s">
        <v>1256</v>
      </c>
      <c r="F649" s="392" t="s">
        <v>273</v>
      </c>
      <c r="G649" s="397">
        <f>'[1]Пр.5 ведом.21'!G637</f>
        <v>0</v>
      </c>
      <c r="H649" s="397">
        <f>G649</f>
        <v>0</v>
      </c>
      <c r="I649" s="192"/>
    </row>
    <row r="650" spans="1:9" ht="15.75" hidden="1" x14ac:dyDescent="0.25">
      <c r="A650" s="396" t="s">
        <v>274</v>
      </c>
      <c r="B650" s="390">
        <v>906</v>
      </c>
      <c r="C650" s="392" t="s">
        <v>264</v>
      </c>
      <c r="D650" s="392" t="s">
        <v>213</v>
      </c>
      <c r="E650" s="392" t="s">
        <v>1256</v>
      </c>
      <c r="F650" s="392" t="s">
        <v>275</v>
      </c>
      <c r="G650" s="397">
        <f>'[1]Пр.5 ведом.21'!G638</f>
        <v>0</v>
      </c>
      <c r="H650" s="397">
        <f>G650</f>
        <v>0</v>
      </c>
      <c r="I650" s="192"/>
    </row>
    <row r="651" spans="1:9" ht="31.5" x14ac:dyDescent="0.25">
      <c r="A651" s="60" t="s">
        <v>764</v>
      </c>
      <c r="B651" s="390">
        <v>906</v>
      </c>
      <c r="C651" s="392" t="s">
        <v>264</v>
      </c>
      <c r="D651" s="392" t="s">
        <v>213</v>
      </c>
      <c r="E651" s="392" t="s">
        <v>1239</v>
      </c>
      <c r="F651" s="392"/>
      <c r="G651" s="397">
        <f>G652</f>
        <v>2888</v>
      </c>
      <c r="H651" s="397">
        <f>H652</f>
        <v>2888</v>
      </c>
      <c r="I651" s="192"/>
    </row>
    <row r="652" spans="1:9" ht="31.5" x14ac:dyDescent="0.25">
      <c r="A652" s="29" t="s">
        <v>272</v>
      </c>
      <c r="B652" s="390">
        <v>906</v>
      </c>
      <c r="C652" s="392" t="s">
        <v>264</v>
      </c>
      <c r="D652" s="392" t="s">
        <v>213</v>
      </c>
      <c r="E652" s="392" t="s">
        <v>1239</v>
      </c>
      <c r="F652" s="392" t="s">
        <v>273</v>
      </c>
      <c r="G652" s="397">
        <f>G653</f>
        <v>2888</v>
      </c>
      <c r="H652" s="397">
        <f>H653</f>
        <v>2888</v>
      </c>
      <c r="I652" s="192"/>
    </row>
    <row r="653" spans="1:9" ht="15.75" x14ac:dyDescent="0.25">
      <c r="A653" s="180" t="s">
        <v>274</v>
      </c>
      <c r="B653" s="390">
        <v>906</v>
      </c>
      <c r="C653" s="392" t="s">
        <v>264</v>
      </c>
      <c r="D653" s="392" t="s">
        <v>213</v>
      </c>
      <c r="E653" s="392" t="s">
        <v>1239</v>
      </c>
      <c r="F653" s="392" t="s">
        <v>275</v>
      </c>
      <c r="G653" s="397">
        <v>2888</v>
      </c>
      <c r="H653" s="397">
        <f>G653</f>
        <v>2888</v>
      </c>
      <c r="I653" s="192"/>
    </row>
    <row r="654" spans="1:9" ht="31.5" x14ac:dyDescent="0.25">
      <c r="A654" s="394" t="s">
        <v>937</v>
      </c>
      <c r="B654" s="236">
        <v>906</v>
      </c>
      <c r="C654" s="395" t="s">
        <v>264</v>
      </c>
      <c r="D654" s="395" t="s">
        <v>213</v>
      </c>
      <c r="E654" s="395" t="s">
        <v>1252</v>
      </c>
      <c r="F654" s="395"/>
      <c r="G654" s="393">
        <f t="shared" ref="G654:H656" si="57">G655</f>
        <v>3931.8</v>
      </c>
      <c r="H654" s="393">
        <f t="shared" si="57"/>
        <v>3865.2</v>
      </c>
      <c r="I654" s="192"/>
    </row>
    <row r="655" spans="1:9" ht="49.7" customHeight="1" x14ac:dyDescent="0.25">
      <c r="A655" s="29" t="s">
        <v>602</v>
      </c>
      <c r="B655" s="37">
        <v>906</v>
      </c>
      <c r="C655" s="392" t="s">
        <v>264</v>
      </c>
      <c r="D655" s="392" t="s">
        <v>213</v>
      </c>
      <c r="E655" s="392" t="s">
        <v>1253</v>
      </c>
      <c r="F655" s="392"/>
      <c r="G655" s="397">
        <f t="shared" si="57"/>
        <v>3931.8</v>
      </c>
      <c r="H655" s="397">
        <f t="shared" si="57"/>
        <v>3865.2</v>
      </c>
      <c r="I655" s="192"/>
    </row>
    <row r="656" spans="1:9" ht="31.5" x14ac:dyDescent="0.25">
      <c r="A656" s="396" t="s">
        <v>272</v>
      </c>
      <c r="B656" s="37">
        <v>906</v>
      </c>
      <c r="C656" s="392" t="s">
        <v>264</v>
      </c>
      <c r="D656" s="392" t="s">
        <v>213</v>
      </c>
      <c r="E656" s="392" t="s">
        <v>1253</v>
      </c>
      <c r="F656" s="392" t="s">
        <v>273</v>
      </c>
      <c r="G656" s="397">
        <f t="shared" si="57"/>
        <v>3931.8</v>
      </c>
      <c r="H656" s="397">
        <f t="shared" si="57"/>
        <v>3865.2</v>
      </c>
      <c r="I656" s="192"/>
    </row>
    <row r="657" spans="1:15" ht="15.75" x14ac:dyDescent="0.25">
      <c r="A657" s="396" t="s">
        <v>274</v>
      </c>
      <c r="B657" s="37">
        <v>906</v>
      </c>
      <c r="C657" s="392" t="s">
        <v>264</v>
      </c>
      <c r="D657" s="392" t="s">
        <v>213</v>
      </c>
      <c r="E657" s="392" t="s">
        <v>1253</v>
      </c>
      <c r="F657" s="392" t="s">
        <v>275</v>
      </c>
      <c r="G657" s="397">
        <v>3931.8</v>
      </c>
      <c r="H657" s="397">
        <v>3865.2</v>
      </c>
      <c r="I657" s="192"/>
    </row>
    <row r="658" spans="1:15" ht="31.5" x14ac:dyDescent="0.25">
      <c r="A658" s="394" t="s">
        <v>938</v>
      </c>
      <c r="B658" s="236">
        <v>906</v>
      </c>
      <c r="C658" s="395" t="s">
        <v>264</v>
      </c>
      <c r="D658" s="395" t="s">
        <v>213</v>
      </c>
      <c r="E658" s="395" t="s">
        <v>1254</v>
      </c>
      <c r="F658" s="395"/>
      <c r="G658" s="44">
        <f t="shared" ref="G658:H660" si="58">G659</f>
        <v>1384.6</v>
      </c>
      <c r="H658" s="44">
        <f t="shared" si="58"/>
        <v>1384.6</v>
      </c>
      <c r="I658" s="192"/>
    </row>
    <row r="659" spans="1:15" ht="47.25" x14ac:dyDescent="0.25">
      <c r="A659" s="396" t="s">
        <v>438</v>
      </c>
      <c r="B659" s="37">
        <v>906</v>
      </c>
      <c r="C659" s="392" t="s">
        <v>264</v>
      </c>
      <c r="D659" s="392" t="s">
        <v>213</v>
      </c>
      <c r="E659" s="392" t="s">
        <v>1255</v>
      </c>
      <c r="F659" s="392"/>
      <c r="G659" s="397">
        <f t="shared" si="58"/>
        <v>1384.6</v>
      </c>
      <c r="H659" s="397">
        <f t="shared" si="58"/>
        <v>1384.6</v>
      </c>
      <c r="I659" s="192"/>
    </row>
    <row r="660" spans="1:15" ht="31.5" x14ac:dyDescent="0.25">
      <c r="A660" s="396" t="s">
        <v>272</v>
      </c>
      <c r="B660" s="37">
        <v>906</v>
      </c>
      <c r="C660" s="392" t="s">
        <v>264</v>
      </c>
      <c r="D660" s="392" t="s">
        <v>213</v>
      </c>
      <c r="E660" s="392" t="s">
        <v>1255</v>
      </c>
      <c r="F660" s="392" t="s">
        <v>273</v>
      </c>
      <c r="G660" s="397">
        <f t="shared" si="58"/>
        <v>1384.6</v>
      </c>
      <c r="H660" s="397">
        <f t="shared" si="58"/>
        <v>1384.6</v>
      </c>
      <c r="I660" s="192"/>
    </row>
    <row r="661" spans="1:15" ht="15.75" x14ac:dyDescent="0.25">
      <c r="A661" s="396" t="s">
        <v>274</v>
      </c>
      <c r="B661" s="37">
        <v>906</v>
      </c>
      <c r="C661" s="392" t="s">
        <v>264</v>
      </c>
      <c r="D661" s="392" t="s">
        <v>213</v>
      </c>
      <c r="E661" s="392" t="s">
        <v>1255</v>
      </c>
      <c r="F661" s="392" t="s">
        <v>275</v>
      </c>
      <c r="G661" s="397">
        <v>1384.6</v>
      </c>
      <c r="H661" s="397">
        <v>1384.6</v>
      </c>
      <c r="I661" s="192"/>
    </row>
    <row r="662" spans="1:15" ht="31.5" x14ac:dyDescent="0.25">
      <c r="A662" s="201" t="s">
        <v>939</v>
      </c>
      <c r="B662" s="391">
        <v>906</v>
      </c>
      <c r="C662" s="395" t="s">
        <v>264</v>
      </c>
      <c r="D662" s="395" t="s">
        <v>213</v>
      </c>
      <c r="E662" s="395" t="s">
        <v>1257</v>
      </c>
      <c r="F662" s="395"/>
      <c r="G662" s="393">
        <f>G663+G666</f>
        <v>755.8</v>
      </c>
      <c r="H662" s="393">
        <f>H663+H666</f>
        <v>759</v>
      </c>
      <c r="I662" s="192"/>
    </row>
    <row r="663" spans="1:15" ht="50.25" customHeight="1" x14ac:dyDescent="0.25">
      <c r="A663" s="180" t="s">
        <v>827</v>
      </c>
      <c r="B663" s="390">
        <v>906</v>
      </c>
      <c r="C663" s="392" t="s">
        <v>264</v>
      </c>
      <c r="D663" s="392" t="s">
        <v>213</v>
      </c>
      <c r="E663" s="392" t="s">
        <v>1422</v>
      </c>
      <c r="F663" s="392"/>
      <c r="G663" s="397">
        <f>G664</f>
        <v>755.8</v>
      </c>
      <c r="H663" s="397">
        <f t="shared" ref="H663:H664" si="59">H664</f>
        <v>759</v>
      </c>
      <c r="I663" s="192"/>
    </row>
    <row r="664" spans="1:15" ht="31.5" x14ac:dyDescent="0.25">
      <c r="A664" s="31" t="s">
        <v>272</v>
      </c>
      <c r="B664" s="390">
        <v>906</v>
      </c>
      <c r="C664" s="392" t="s">
        <v>264</v>
      </c>
      <c r="D664" s="392" t="s">
        <v>213</v>
      </c>
      <c r="E664" s="392" t="s">
        <v>1422</v>
      </c>
      <c r="F664" s="392" t="s">
        <v>273</v>
      </c>
      <c r="G664" s="397">
        <f>G665</f>
        <v>755.8</v>
      </c>
      <c r="H664" s="397">
        <f t="shared" si="59"/>
        <v>759</v>
      </c>
      <c r="I664" s="192"/>
    </row>
    <row r="665" spans="1:15" ht="15.75" x14ac:dyDescent="0.25">
      <c r="A665" s="31" t="s">
        <v>274</v>
      </c>
      <c r="B665" s="390">
        <v>906</v>
      </c>
      <c r="C665" s="392" t="s">
        <v>264</v>
      </c>
      <c r="D665" s="392" t="s">
        <v>213</v>
      </c>
      <c r="E665" s="392" t="s">
        <v>1422</v>
      </c>
      <c r="F665" s="392" t="s">
        <v>275</v>
      </c>
      <c r="G665" s="397">
        <v>755.8</v>
      </c>
      <c r="H665" s="397">
        <v>759</v>
      </c>
      <c r="I665" s="192"/>
    </row>
    <row r="666" spans="1:15" ht="31.5" hidden="1" x14ac:dyDescent="0.25">
      <c r="A666" s="301" t="s">
        <v>1421</v>
      </c>
      <c r="B666" s="390">
        <v>906</v>
      </c>
      <c r="C666" s="392" t="s">
        <v>264</v>
      </c>
      <c r="D666" s="392" t="s">
        <v>213</v>
      </c>
      <c r="E666" s="392" t="s">
        <v>1423</v>
      </c>
      <c r="F666" s="392"/>
      <c r="G666" s="397">
        <f>G667</f>
        <v>0</v>
      </c>
      <c r="H666" s="397">
        <f>H667</f>
        <v>0</v>
      </c>
      <c r="I666" s="192"/>
    </row>
    <row r="667" spans="1:15" ht="31.5" hidden="1" x14ac:dyDescent="0.25">
      <c r="A667" s="31" t="s">
        <v>272</v>
      </c>
      <c r="B667" s="390">
        <v>906</v>
      </c>
      <c r="C667" s="392" t="s">
        <v>264</v>
      </c>
      <c r="D667" s="392" t="s">
        <v>213</v>
      </c>
      <c r="E667" s="392" t="s">
        <v>1423</v>
      </c>
      <c r="F667" s="392" t="s">
        <v>273</v>
      </c>
      <c r="G667" s="397">
        <f>G668</f>
        <v>0</v>
      </c>
      <c r="H667" s="397">
        <f>H668</f>
        <v>0</v>
      </c>
      <c r="I667" s="192"/>
    </row>
    <row r="668" spans="1:15" ht="15.75" hidden="1" x14ac:dyDescent="0.25">
      <c r="A668" s="31" t="s">
        <v>274</v>
      </c>
      <c r="B668" s="390">
        <v>906</v>
      </c>
      <c r="C668" s="392" t="s">
        <v>264</v>
      </c>
      <c r="D668" s="392" t="s">
        <v>213</v>
      </c>
      <c r="E668" s="392" t="s">
        <v>1423</v>
      </c>
      <c r="F668" s="392" t="s">
        <v>275</v>
      </c>
      <c r="G668" s="397">
        <v>0</v>
      </c>
      <c r="H668" s="397">
        <v>0</v>
      </c>
      <c r="I668" s="192"/>
    </row>
    <row r="669" spans="1:15" ht="31.5" x14ac:dyDescent="0.25">
      <c r="A669" s="268" t="s">
        <v>1404</v>
      </c>
      <c r="B669" s="391">
        <v>906</v>
      </c>
      <c r="C669" s="395" t="s">
        <v>264</v>
      </c>
      <c r="D669" s="395" t="s">
        <v>213</v>
      </c>
      <c r="E669" s="395" t="s">
        <v>1403</v>
      </c>
      <c r="F669" s="395"/>
      <c r="G669" s="393">
        <f t="shared" ref="G669:H671" si="60">G670</f>
        <v>5415.6500000000005</v>
      </c>
      <c r="H669" s="393">
        <f t="shared" si="60"/>
        <v>5142.4500000000007</v>
      </c>
      <c r="I669" s="192"/>
    </row>
    <row r="670" spans="1:15" ht="63" x14ac:dyDescent="0.25">
      <c r="A670" s="267" t="s">
        <v>1390</v>
      </c>
      <c r="B670" s="390">
        <v>906</v>
      </c>
      <c r="C670" s="392" t="s">
        <v>264</v>
      </c>
      <c r="D670" s="392" t="s">
        <v>213</v>
      </c>
      <c r="E670" s="392" t="s">
        <v>1442</v>
      </c>
      <c r="F670" s="392"/>
      <c r="G670" s="397">
        <f t="shared" si="60"/>
        <v>5415.6500000000005</v>
      </c>
      <c r="H670" s="397">
        <f t="shared" si="60"/>
        <v>5142.4500000000007</v>
      </c>
      <c r="I670" s="192"/>
    </row>
    <row r="671" spans="1:15" ht="37.35" customHeight="1" x14ac:dyDescent="0.25">
      <c r="A671" s="31" t="s">
        <v>272</v>
      </c>
      <c r="B671" s="390">
        <v>906</v>
      </c>
      <c r="C671" s="392" t="s">
        <v>264</v>
      </c>
      <c r="D671" s="392" t="s">
        <v>213</v>
      </c>
      <c r="E671" s="392" t="s">
        <v>1442</v>
      </c>
      <c r="F671" s="392" t="s">
        <v>273</v>
      </c>
      <c r="G671" s="397">
        <f t="shared" si="60"/>
        <v>5415.6500000000005</v>
      </c>
      <c r="H671" s="397">
        <f t="shared" si="60"/>
        <v>5142.4500000000007</v>
      </c>
      <c r="I671" s="192"/>
    </row>
    <row r="672" spans="1:15" ht="15.75" x14ac:dyDescent="0.25">
      <c r="A672" s="31" t="s">
        <v>274</v>
      </c>
      <c r="B672" s="390">
        <v>906</v>
      </c>
      <c r="C672" s="392" t="s">
        <v>264</v>
      </c>
      <c r="D672" s="392" t="s">
        <v>213</v>
      </c>
      <c r="E672" s="392" t="s">
        <v>1442</v>
      </c>
      <c r="F672" s="392" t="s">
        <v>275</v>
      </c>
      <c r="G672" s="397">
        <f>5193.6+222.05</f>
        <v>5415.6500000000005</v>
      </c>
      <c r="H672" s="397">
        <f>4931.6+210.85</f>
        <v>5142.4500000000007</v>
      </c>
      <c r="I672" s="192"/>
      <c r="L672" s="192"/>
      <c r="M672" s="192"/>
      <c r="N672" s="192"/>
      <c r="O672" s="192"/>
    </row>
    <row r="673" spans="1:15" ht="47.25" hidden="1" x14ac:dyDescent="0.25">
      <c r="A673" s="201" t="s">
        <v>1170</v>
      </c>
      <c r="B673" s="391">
        <v>906</v>
      </c>
      <c r="C673" s="395" t="s">
        <v>264</v>
      </c>
      <c r="D673" s="395" t="s">
        <v>213</v>
      </c>
      <c r="E673" s="395" t="s">
        <v>1318</v>
      </c>
      <c r="F673" s="395"/>
      <c r="G673" s="393">
        <f t="shared" ref="G673:H677" si="61">G674</f>
        <v>0</v>
      </c>
      <c r="H673" s="393">
        <f t="shared" si="61"/>
        <v>0</v>
      </c>
      <c r="I673" s="192"/>
    </row>
    <row r="674" spans="1:15" ht="47.25" hidden="1" x14ac:dyDescent="0.25">
      <c r="A674" s="180" t="s">
        <v>1178</v>
      </c>
      <c r="B674" s="390">
        <v>906</v>
      </c>
      <c r="C674" s="392" t="s">
        <v>264</v>
      </c>
      <c r="D674" s="392" t="s">
        <v>213</v>
      </c>
      <c r="E674" s="392" t="s">
        <v>1319</v>
      </c>
      <c r="F674" s="392"/>
      <c r="G674" s="397">
        <f t="shared" si="61"/>
        <v>0</v>
      </c>
      <c r="H674" s="397">
        <f t="shared" si="61"/>
        <v>0</v>
      </c>
      <c r="I674" s="192"/>
    </row>
    <row r="675" spans="1:15" ht="31.5" hidden="1" x14ac:dyDescent="0.25">
      <c r="A675" s="31" t="s">
        <v>272</v>
      </c>
      <c r="B675" s="390">
        <v>906</v>
      </c>
      <c r="C675" s="392" t="s">
        <v>264</v>
      </c>
      <c r="D675" s="392" t="s">
        <v>213</v>
      </c>
      <c r="E675" s="392" t="s">
        <v>1319</v>
      </c>
      <c r="F675" s="392" t="s">
        <v>273</v>
      </c>
      <c r="G675" s="397">
        <f t="shared" si="61"/>
        <v>0</v>
      </c>
      <c r="H675" s="397">
        <f t="shared" si="61"/>
        <v>0</v>
      </c>
      <c r="I675" s="192"/>
    </row>
    <row r="676" spans="1:15" ht="15.75" hidden="1" x14ac:dyDescent="0.25">
      <c r="A676" s="31" t="s">
        <v>274</v>
      </c>
      <c r="B676" s="390">
        <v>906</v>
      </c>
      <c r="C676" s="392" t="s">
        <v>264</v>
      </c>
      <c r="D676" s="392" t="s">
        <v>213</v>
      </c>
      <c r="E676" s="392" t="s">
        <v>1319</v>
      </c>
      <c r="F676" s="392" t="s">
        <v>275</v>
      </c>
      <c r="G676" s="397">
        <v>0</v>
      </c>
      <c r="H676" s="397">
        <f>G676</f>
        <v>0</v>
      </c>
      <c r="I676" s="192"/>
    </row>
    <row r="677" spans="1:15" ht="31.5" x14ac:dyDescent="0.25">
      <c r="A677" s="34" t="s">
        <v>1457</v>
      </c>
      <c r="B677" s="391">
        <v>906</v>
      </c>
      <c r="C677" s="395" t="s">
        <v>264</v>
      </c>
      <c r="D677" s="395" t="s">
        <v>213</v>
      </c>
      <c r="E677" s="395" t="s">
        <v>1455</v>
      </c>
      <c r="F677" s="395"/>
      <c r="G677" s="393">
        <f t="shared" si="61"/>
        <v>1749.4499999999998</v>
      </c>
      <c r="H677" s="393">
        <f t="shared" si="61"/>
        <v>2341</v>
      </c>
      <c r="I677" s="192"/>
    </row>
    <row r="678" spans="1:15" ht="54" customHeight="1" x14ac:dyDescent="0.25">
      <c r="A678" s="349" t="s">
        <v>1504</v>
      </c>
      <c r="B678" s="390">
        <v>906</v>
      </c>
      <c r="C678" s="392" t="s">
        <v>264</v>
      </c>
      <c r="D678" s="392" t="s">
        <v>213</v>
      </c>
      <c r="E678" s="392" t="s">
        <v>1456</v>
      </c>
      <c r="F678" s="392"/>
      <c r="G678" s="397">
        <f>G679</f>
        <v>1749.4499999999998</v>
      </c>
      <c r="H678" s="397">
        <f>H679</f>
        <v>2341</v>
      </c>
      <c r="I678" s="192"/>
    </row>
    <row r="679" spans="1:15" ht="31.5" x14ac:dyDescent="0.25">
      <c r="A679" s="31" t="s">
        <v>272</v>
      </c>
      <c r="B679" s="390">
        <v>906</v>
      </c>
      <c r="C679" s="392" t="s">
        <v>264</v>
      </c>
      <c r="D679" s="392" t="s">
        <v>213</v>
      </c>
      <c r="E679" s="392" t="s">
        <v>1456</v>
      </c>
      <c r="F679" s="392" t="s">
        <v>273</v>
      </c>
      <c r="G679" s="397">
        <f>G680</f>
        <v>1749.4499999999998</v>
      </c>
      <c r="H679" s="397">
        <f>H680</f>
        <v>2341</v>
      </c>
      <c r="I679" s="192"/>
    </row>
    <row r="680" spans="1:15" ht="15.75" x14ac:dyDescent="0.25">
      <c r="A680" s="31" t="s">
        <v>274</v>
      </c>
      <c r="B680" s="390">
        <v>906</v>
      </c>
      <c r="C680" s="392" t="s">
        <v>264</v>
      </c>
      <c r="D680" s="392" t="s">
        <v>213</v>
      </c>
      <c r="E680" s="392" t="s">
        <v>1456</v>
      </c>
      <c r="F680" s="392" t="s">
        <v>275</v>
      </c>
      <c r="G680" s="397">
        <f>1644.1+33.6+71.75</f>
        <v>1749.4499999999998</v>
      </c>
      <c r="H680" s="397">
        <f>2200+45+96</f>
        <v>2341</v>
      </c>
      <c r="I680" s="192"/>
      <c r="L680" s="192"/>
      <c r="M680" s="192"/>
      <c r="N680" s="192"/>
      <c r="O680" s="192"/>
    </row>
    <row r="681" spans="1:15" ht="47.25" x14ac:dyDescent="0.25">
      <c r="A681" s="34" t="s">
        <v>1356</v>
      </c>
      <c r="B681" s="391">
        <v>906</v>
      </c>
      <c r="C681" s="395" t="s">
        <v>264</v>
      </c>
      <c r="D681" s="395" t="s">
        <v>213</v>
      </c>
      <c r="E681" s="395" t="s">
        <v>324</v>
      </c>
      <c r="F681" s="395"/>
      <c r="G681" s="393">
        <f t="shared" ref="G681:H684" si="62">G682</f>
        <v>60</v>
      </c>
      <c r="H681" s="393">
        <f t="shared" si="62"/>
        <v>70</v>
      </c>
      <c r="I681" s="192"/>
    </row>
    <row r="682" spans="1:15" ht="63" x14ac:dyDescent="0.25">
      <c r="A682" s="34" t="s">
        <v>1023</v>
      </c>
      <c r="B682" s="391">
        <v>906</v>
      </c>
      <c r="C682" s="395" t="s">
        <v>264</v>
      </c>
      <c r="D682" s="395" t="s">
        <v>213</v>
      </c>
      <c r="E682" s="395" t="s">
        <v>933</v>
      </c>
      <c r="F682" s="395"/>
      <c r="G682" s="393">
        <f t="shared" si="62"/>
        <v>60</v>
      </c>
      <c r="H682" s="393">
        <f t="shared" si="62"/>
        <v>70</v>
      </c>
      <c r="I682" s="192"/>
    </row>
    <row r="683" spans="1:15" ht="47.25" x14ac:dyDescent="0.25">
      <c r="A683" s="31" t="s">
        <v>1082</v>
      </c>
      <c r="B683" s="390">
        <v>906</v>
      </c>
      <c r="C683" s="392" t="s">
        <v>264</v>
      </c>
      <c r="D683" s="392" t="s">
        <v>213</v>
      </c>
      <c r="E683" s="392" t="s">
        <v>934</v>
      </c>
      <c r="F683" s="392"/>
      <c r="G683" s="397">
        <f t="shared" si="62"/>
        <v>60</v>
      </c>
      <c r="H683" s="397">
        <f t="shared" si="62"/>
        <v>70</v>
      </c>
      <c r="I683" s="192"/>
    </row>
    <row r="684" spans="1:15" ht="31.5" x14ac:dyDescent="0.25">
      <c r="A684" s="31" t="s">
        <v>272</v>
      </c>
      <c r="B684" s="390">
        <v>906</v>
      </c>
      <c r="C684" s="392" t="s">
        <v>264</v>
      </c>
      <c r="D684" s="392" t="s">
        <v>213</v>
      </c>
      <c r="E684" s="392" t="s">
        <v>934</v>
      </c>
      <c r="F684" s="392" t="s">
        <v>273</v>
      </c>
      <c r="G684" s="397">
        <f t="shared" si="62"/>
        <v>60</v>
      </c>
      <c r="H684" s="397">
        <f t="shared" si="62"/>
        <v>70</v>
      </c>
      <c r="I684" s="192"/>
    </row>
    <row r="685" spans="1:15" ht="15.75" x14ac:dyDescent="0.25">
      <c r="A685" s="31" t="s">
        <v>274</v>
      </c>
      <c r="B685" s="390">
        <v>906</v>
      </c>
      <c r="C685" s="392" t="s">
        <v>264</v>
      </c>
      <c r="D685" s="392" t="s">
        <v>213</v>
      </c>
      <c r="E685" s="392" t="s">
        <v>934</v>
      </c>
      <c r="F685" s="392" t="s">
        <v>275</v>
      </c>
      <c r="G685" s="397">
        <v>60</v>
      </c>
      <c r="H685" s="397">
        <v>70</v>
      </c>
      <c r="I685" s="192"/>
    </row>
    <row r="686" spans="1:15" ht="47.25" x14ac:dyDescent="0.25">
      <c r="A686" s="400" t="s">
        <v>1351</v>
      </c>
      <c r="B686" s="391">
        <v>906</v>
      </c>
      <c r="C686" s="395" t="s">
        <v>264</v>
      </c>
      <c r="D686" s="395" t="s">
        <v>213</v>
      </c>
      <c r="E686" s="395" t="s">
        <v>705</v>
      </c>
      <c r="F686" s="403"/>
      <c r="G686" s="393">
        <f t="shared" ref="G686:H689" si="63">G687</f>
        <v>870.5</v>
      </c>
      <c r="H686" s="393">
        <f t="shared" si="63"/>
        <v>905.3</v>
      </c>
      <c r="I686" s="192"/>
    </row>
    <row r="687" spans="1:15" ht="47.25" x14ac:dyDescent="0.25">
      <c r="A687" s="400" t="s">
        <v>889</v>
      </c>
      <c r="B687" s="391">
        <v>906</v>
      </c>
      <c r="C687" s="395" t="s">
        <v>264</v>
      </c>
      <c r="D687" s="395" t="s">
        <v>213</v>
      </c>
      <c r="E687" s="395" t="s">
        <v>887</v>
      </c>
      <c r="F687" s="403"/>
      <c r="G687" s="393">
        <f t="shared" si="63"/>
        <v>870.5</v>
      </c>
      <c r="H687" s="393">
        <f t="shared" si="63"/>
        <v>905.3</v>
      </c>
      <c r="I687" s="192"/>
    </row>
    <row r="688" spans="1:15" ht="47.25" x14ac:dyDescent="0.25">
      <c r="A688" s="98" t="s">
        <v>780</v>
      </c>
      <c r="B688" s="390">
        <v>906</v>
      </c>
      <c r="C688" s="392" t="s">
        <v>264</v>
      </c>
      <c r="D688" s="392" t="s">
        <v>213</v>
      </c>
      <c r="E688" s="392" t="s">
        <v>935</v>
      </c>
      <c r="F688" s="398"/>
      <c r="G688" s="397">
        <f t="shared" si="63"/>
        <v>870.5</v>
      </c>
      <c r="H688" s="397">
        <f t="shared" si="63"/>
        <v>905.3</v>
      </c>
      <c r="I688" s="192"/>
    </row>
    <row r="689" spans="1:9" ht="31.5" x14ac:dyDescent="0.25">
      <c r="A689" s="29" t="s">
        <v>272</v>
      </c>
      <c r="B689" s="390">
        <v>906</v>
      </c>
      <c r="C689" s="392" t="s">
        <v>264</v>
      </c>
      <c r="D689" s="392" t="s">
        <v>213</v>
      </c>
      <c r="E689" s="392" t="s">
        <v>935</v>
      </c>
      <c r="F689" s="398" t="s">
        <v>273</v>
      </c>
      <c r="G689" s="397">
        <f t="shared" si="63"/>
        <v>870.5</v>
      </c>
      <c r="H689" s="397">
        <f t="shared" si="63"/>
        <v>905.3</v>
      </c>
      <c r="I689" s="192"/>
    </row>
    <row r="690" spans="1:9" ht="15.75" x14ac:dyDescent="0.25">
      <c r="A690" s="180" t="s">
        <v>274</v>
      </c>
      <c r="B690" s="390">
        <v>906</v>
      </c>
      <c r="C690" s="392" t="s">
        <v>264</v>
      </c>
      <c r="D690" s="392" t="s">
        <v>213</v>
      </c>
      <c r="E690" s="392" t="s">
        <v>935</v>
      </c>
      <c r="F690" s="398" t="s">
        <v>275</v>
      </c>
      <c r="G690" s="397">
        <v>870.5</v>
      </c>
      <c r="H690" s="397">
        <v>905.3</v>
      </c>
      <c r="I690" s="192"/>
    </row>
    <row r="691" spans="1:9" ht="15.75" x14ac:dyDescent="0.25">
      <c r="A691" s="394" t="s">
        <v>265</v>
      </c>
      <c r="B691" s="391">
        <v>906</v>
      </c>
      <c r="C691" s="395" t="s">
        <v>264</v>
      </c>
      <c r="D691" s="395" t="s">
        <v>215</v>
      </c>
      <c r="E691" s="395"/>
      <c r="F691" s="395"/>
      <c r="G691" s="44">
        <f>G692+G715</f>
        <v>41051.5</v>
      </c>
      <c r="H691" s="44">
        <f>H692+H715</f>
        <v>41063.700000000004</v>
      </c>
      <c r="I691" s="192"/>
    </row>
    <row r="692" spans="1:9" ht="39.75" customHeight="1" x14ac:dyDescent="0.25">
      <c r="A692" s="394" t="s">
        <v>1357</v>
      </c>
      <c r="B692" s="391">
        <v>906</v>
      </c>
      <c r="C692" s="395" t="s">
        <v>264</v>
      </c>
      <c r="D692" s="395" t="s">
        <v>215</v>
      </c>
      <c r="E692" s="395" t="s">
        <v>406</v>
      </c>
      <c r="F692" s="395"/>
      <c r="G692" s="44">
        <f>G693+G697+G711</f>
        <v>40748.800000000003</v>
      </c>
      <c r="H692" s="44">
        <f>H693+H697+H711</f>
        <v>40748.800000000003</v>
      </c>
      <c r="I692" s="192"/>
    </row>
    <row r="693" spans="1:9" ht="31.5" x14ac:dyDescent="0.25">
      <c r="A693" s="394" t="s">
        <v>936</v>
      </c>
      <c r="B693" s="391">
        <v>906</v>
      </c>
      <c r="C693" s="395" t="s">
        <v>264</v>
      </c>
      <c r="D693" s="395" t="s">
        <v>215</v>
      </c>
      <c r="E693" s="395" t="s">
        <v>1228</v>
      </c>
      <c r="F693" s="395"/>
      <c r="G693" s="44">
        <f t="shared" ref="G693:H695" si="64">G694</f>
        <v>37056.300000000003</v>
      </c>
      <c r="H693" s="44">
        <f t="shared" si="64"/>
        <v>37056.300000000003</v>
      </c>
      <c r="I693" s="192"/>
    </row>
    <row r="694" spans="1:9" ht="47.25" x14ac:dyDescent="0.25">
      <c r="A694" s="396" t="s">
        <v>270</v>
      </c>
      <c r="B694" s="390">
        <v>906</v>
      </c>
      <c r="C694" s="392" t="s">
        <v>264</v>
      </c>
      <c r="D694" s="392" t="s">
        <v>215</v>
      </c>
      <c r="E694" s="392" t="s">
        <v>1258</v>
      </c>
      <c r="F694" s="392"/>
      <c r="G694" s="397">
        <f t="shared" si="64"/>
        <v>37056.300000000003</v>
      </c>
      <c r="H694" s="397">
        <f t="shared" si="64"/>
        <v>37056.300000000003</v>
      </c>
      <c r="I694" s="192"/>
    </row>
    <row r="695" spans="1:9" ht="31.5" x14ac:dyDescent="0.25">
      <c r="A695" s="396" t="s">
        <v>272</v>
      </c>
      <c r="B695" s="390">
        <v>906</v>
      </c>
      <c r="C695" s="392" t="s">
        <v>264</v>
      </c>
      <c r="D695" s="392" t="s">
        <v>215</v>
      </c>
      <c r="E695" s="392" t="s">
        <v>1258</v>
      </c>
      <c r="F695" s="392" t="s">
        <v>273</v>
      </c>
      <c r="G695" s="397">
        <f t="shared" si="64"/>
        <v>37056.300000000003</v>
      </c>
      <c r="H695" s="397">
        <f t="shared" si="64"/>
        <v>37056.300000000003</v>
      </c>
      <c r="I695" s="192"/>
    </row>
    <row r="696" spans="1:9" ht="15.75" x14ac:dyDescent="0.25">
      <c r="A696" s="396" t="s">
        <v>274</v>
      </c>
      <c r="B696" s="390">
        <v>906</v>
      </c>
      <c r="C696" s="392" t="s">
        <v>264</v>
      </c>
      <c r="D696" s="392" t="s">
        <v>215</v>
      </c>
      <c r="E696" s="392" t="s">
        <v>1258</v>
      </c>
      <c r="F696" s="392" t="s">
        <v>275</v>
      </c>
      <c r="G696" s="397">
        <v>37056.300000000003</v>
      </c>
      <c r="H696" s="397">
        <f t="shared" si="56"/>
        <v>37056.300000000003</v>
      </c>
      <c r="I696" s="192"/>
    </row>
    <row r="697" spans="1:9" ht="47.25" x14ac:dyDescent="0.25">
      <c r="A697" s="394" t="s">
        <v>899</v>
      </c>
      <c r="B697" s="391">
        <v>906</v>
      </c>
      <c r="C697" s="395" t="s">
        <v>264</v>
      </c>
      <c r="D697" s="395" t="s">
        <v>215</v>
      </c>
      <c r="E697" s="395" t="s">
        <v>1230</v>
      </c>
      <c r="F697" s="395"/>
      <c r="G697" s="44">
        <f>G701+G704+G698</f>
        <v>2128.5</v>
      </c>
      <c r="H697" s="44">
        <f>H701+H704+H698</f>
        <v>2128.5</v>
      </c>
      <c r="I697" s="192"/>
    </row>
    <row r="698" spans="1:9" ht="94.5" x14ac:dyDescent="0.25">
      <c r="A698" s="31" t="s">
        <v>293</v>
      </c>
      <c r="B698" s="390">
        <v>906</v>
      </c>
      <c r="C698" s="392" t="s">
        <v>264</v>
      </c>
      <c r="D698" s="392" t="s">
        <v>215</v>
      </c>
      <c r="E698" s="392" t="s">
        <v>1389</v>
      </c>
      <c r="F698" s="392"/>
      <c r="G698" s="397">
        <f>G699</f>
        <v>1400</v>
      </c>
      <c r="H698" s="397">
        <f>H699</f>
        <v>1400</v>
      </c>
      <c r="I698" s="192"/>
    </row>
    <row r="699" spans="1:9" ht="31.5" x14ac:dyDescent="0.25">
      <c r="A699" s="396" t="s">
        <v>272</v>
      </c>
      <c r="B699" s="390">
        <v>906</v>
      </c>
      <c r="C699" s="392" t="s">
        <v>264</v>
      </c>
      <c r="D699" s="392" t="s">
        <v>215</v>
      </c>
      <c r="E699" s="392" t="s">
        <v>1389</v>
      </c>
      <c r="F699" s="392" t="s">
        <v>273</v>
      </c>
      <c r="G699" s="397">
        <f>G700</f>
        <v>1400</v>
      </c>
      <c r="H699" s="397">
        <f>H700</f>
        <v>1400</v>
      </c>
      <c r="I699" s="192"/>
    </row>
    <row r="700" spans="1:9" ht="15.75" x14ac:dyDescent="0.25">
      <c r="A700" s="396" t="s">
        <v>274</v>
      </c>
      <c r="B700" s="390">
        <v>906</v>
      </c>
      <c r="C700" s="392" t="s">
        <v>264</v>
      </c>
      <c r="D700" s="392" t="s">
        <v>215</v>
      </c>
      <c r="E700" s="392" t="s">
        <v>1389</v>
      </c>
      <c r="F700" s="392" t="s">
        <v>275</v>
      </c>
      <c r="G700" s="397">
        <v>1400</v>
      </c>
      <c r="H700" s="397">
        <f>G700</f>
        <v>1400</v>
      </c>
      <c r="I700" s="192"/>
    </row>
    <row r="701" spans="1:9" ht="63" x14ac:dyDescent="0.25">
      <c r="A701" s="31" t="s">
        <v>289</v>
      </c>
      <c r="B701" s="390">
        <v>906</v>
      </c>
      <c r="C701" s="392" t="s">
        <v>264</v>
      </c>
      <c r="D701" s="392" t="s">
        <v>215</v>
      </c>
      <c r="E701" s="392" t="s">
        <v>1231</v>
      </c>
      <c r="F701" s="392"/>
      <c r="G701" s="397">
        <f>G702</f>
        <v>179</v>
      </c>
      <c r="H701" s="397">
        <f>H702</f>
        <v>179</v>
      </c>
      <c r="I701" s="192"/>
    </row>
    <row r="702" spans="1:9" ht="31.5" x14ac:dyDescent="0.25">
      <c r="A702" s="396" t="s">
        <v>272</v>
      </c>
      <c r="B702" s="390">
        <v>906</v>
      </c>
      <c r="C702" s="392" t="s">
        <v>264</v>
      </c>
      <c r="D702" s="392" t="s">
        <v>215</v>
      </c>
      <c r="E702" s="392" t="s">
        <v>1231</v>
      </c>
      <c r="F702" s="392" t="s">
        <v>273</v>
      </c>
      <c r="G702" s="397">
        <f>G703</f>
        <v>179</v>
      </c>
      <c r="H702" s="397">
        <f>H703</f>
        <v>179</v>
      </c>
      <c r="I702" s="192"/>
    </row>
    <row r="703" spans="1:9" ht="15.75" x14ac:dyDescent="0.25">
      <c r="A703" s="396" t="s">
        <v>274</v>
      </c>
      <c r="B703" s="390">
        <v>906</v>
      </c>
      <c r="C703" s="392" t="s">
        <v>264</v>
      </c>
      <c r="D703" s="392" t="s">
        <v>215</v>
      </c>
      <c r="E703" s="392" t="s">
        <v>1231</v>
      </c>
      <c r="F703" s="392" t="s">
        <v>275</v>
      </c>
      <c r="G703" s="397">
        <v>179</v>
      </c>
      <c r="H703" s="397">
        <f t="shared" si="56"/>
        <v>179</v>
      </c>
      <c r="I703" s="192"/>
    </row>
    <row r="704" spans="1:9" ht="63" x14ac:dyDescent="0.25">
      <c r="A704" s="31" t="s">
        <v>291</v>
      </c>
      <c r="B704" s="390">
        <v>906</v>
      </c>
      <c r="C704" s="392" t="s">
        <v>264</v>
      </c>
      <c r="D704" s="392" t="s">
        <v>215</v>
      </c>
      <c r="E704" s="392" t="s">
        <v>1232</v>
      </c>
      <c r="F704" s="392"/>
      <c r="G704" s="397">
        <f>G705</f>
        <v>549.5</v>
      </c>
      <c r="H704" s="397">
        <f>H705</f>
        <v>549.5</v>
      </c>
      <c r="I704" s="192"/>
    </row>
    <row r="705" spans="1:9" ht="31.5" x14ac:dyDescent="0.25">
      <c r="A705" s="396" t="s">
        <v>272</v>
      </c>
      <c r="B705" s="390">
        <v>906</v>
      </c>
      <c r="C705" s="392" t="s">
        <v>264</v>
      </c>
      <c r="D705" s="392" t="s">
        <v>215</v>
      </c>
      <c r="E705" s="392" t="s">
        <v>1232</v>
      </c>
      <c r="F705" s="392" t="s">
        <v>273</v>
      </c>
      <c r="G705" s="397">
        <f>G706</f>
        <v>549.5</v>
      </c>
      <c r="H705" s="397">
        <f>H706</f>
        <v>549.5</v>
      </c>
      <c r="I705" s="192"/>
    </row>
    <row r="706" spans="1:9" ht="15.75" x14ac:dyDescent="0.25">
      <c r="A706" s="396" t="s">
        <v>274</v>
      </c>
      <c r="B706" s="390">
        <v>906</v>
      </c>
      <c r="C706" s="392" t="s">
        <v>264</v>
      </c>
      <c r="D706" s="392" t="s">
        <v>215</v>
      </c>
      <c r="E706" s="392" t="s">
        <v>1232</v>
      </c>
      <c r="F706" s="392" t="s">
        <v>275</v>
      </c>
      <c r="G706" s="397">
        <f>549.5</f>
        <v>549.5</v>
      </c>
      <c r="H706" s="397">
        <f t="shared" si="56"/>
        <v>549.5</v>
      </c>
      <c r="I706" s="192"/>
    </row>
    <row r="707" spans="1:9" ht="31.5" hidden="1" x14ac:dyDescent="0.25">
      <c r="A707" s="394" t="s">
        <v>940</v>
      </c>
      <c r="B707" s="391">
        <v>906</v>
      </c>
      <c r="C707" s="395" t="s">
        <v>264</v>
      </c>
      <c r="D707" s="395" t="s">
        <v>215</v>
      </c>
      <c r="E707" s="395" t="s">
        <v>1058</v>
      </c>
      <c r="F707" s="395"/>
      <c r="G707" s="44">
        <f>G708</f>
        <v>0</v>
      </c>
      <c r="H707" s="44">
        <f>H708</f>
        <v>0</v>
      </c>
      <c r="I707" s="192"/>
    </row>
    <row r="708" spans="1:9" ht="31.5" hidden="1" x14ac:dyDescent="0.25">
      <c r="A708" s="45" t="s">
        <v>766</v>
      </c>
      <c r="B708" s="390">
        <v>906</v>
      </c>
      <c r="C708" s="392" t="s">
        <v>264</v>
      </c>
      <c r="D708" s="392" t="s">
        <v>215</v>
      </c>
      <c r="E708" s="392" t="s">
        <v>1059</v>
      </c>
      <c r="F708" s="392"/>
      <c r="G708" s="397">
        <f>'[1]Пр.5 ведом.21'!G700</f>
        <v>0</v>
      </c>
      <c r="H708" s="397">
        <f t="shared" ref="H708:H770" si="65">G708</f>
        <v>0</v>
      </c>
      <c r="I708" s="192"/>
    </row>
    <row r="709" spans="1:9" ht="31.5" hidden="1" x14ac:dyDescent="0.25">
      <c r="A709" s="31" t="s">
        <v>272</v>
      </c>
      <c r="B709" s="390">
        <v>906</v>
      </c>
      <c r="C709" s="392" t="s">
        <v>264</v>
      </c>
      <c r="D709" s="392" t="s">
        <v>215</v>
      </c>
      <c r="E709" s="392" t="s">
        <v>1059</v>
      </c>
      <c r="F709" s="392" t="s">
        <v>273</v>
      </c>
      <c r="G709" s="397">
        <f>'[1]Пр.5 ведом.21'!G701</f>
        <v>0</v>
      </c>
      <c r="H709" s="397">
        <f t="shared" si="65"/>
        <v>0</v>
      </c>
      <c r="I709" s="192"/>
    </row>
    <row r="710" spans="1:9" ht="15.75" hidden="1" x14ac:dyDescent="0.25">
      <c r="A710" s="31" t="s">
        <v>274</v>
      </c>
      <c r="B710" s="390">
        <v>906</v>
      </c>
      <c r="C710" s="392" t="s">
        <v>264</v>
      </c>
      <c r="D710" s="392" t="s">
        <v>215</v>
      </c>
      <c r="E710" s="392" t="s">
        <v>1059</v>
      </c>
      <c r="F710" s="392" t="s">
        <v>275</v>
      </c>
      <c r="G710" s="397">
        <f>'[1]Пр.5 ведом.21'!G702</f>
        <v>0</v>
      </c>
      <c r="H710" s="397">
        <f t="shared" si="65"/>
        <v>0</v>
      </c>
      <c r="I710" s="192"/>
    </row>
    <row r="711" spans="1:9" ht="31.5" x14ac:dyDescent="0.25">
      <c r="A711" s="203" t="s">
        <v>947</v>
      </c>
      <c r="B711" s="391">
        <v>906</v>
      </c>
      <c r="C711" s="395" t="s">
        <v>264</v>
      </c>
      <c r="D711" s="395" t="s">
        <v>215</v>
      </c>
      <c r="E711" s="395" t="s">
        <v>1238</v>
      </c>
      <c r="F711" s="395"/>
      <c r="G711" s="44">
        <f t="shared" ref="G711:H713" si="66">G712</f>
        <v>1564</v>
      </c>
      <c r="H711" s="44">
        <f t="shared" si="66"/>
        <v>1564</v>
      </c>
      <c r="I711" s="192"/>
    </row>
    <row r="712" spans="1:9" ht="31.5" x14ac:dyDescent="0.25">
      <c r="A712" s="45" t="s">
        <v>764</v>
      </c>
      <c r="B712" s="390">
        <v>906</v>
      </c>
      <c r="C712" s="392" t="s">
        <v>264</v>
      </c>
      <c r="D712" s="392" t="s">
        <v>215</v>
      </c>
      <c r="E712" s="392" t="s">
        <v>1239</v>
      </c>
      <c r="F712" s="392"/>
      <c r="G712" s="397">
        <f t="shared" si="66"/>
        <v>1564</v>
      </c>
      <c r="H712" s="397">
        <f t="shared" si="66"/>
        <v>1564</v>
      </c>
      <c r="I712" s="192"/>
    </row>
    <row r="713" spans="1:9" ht="31.5" x14ac:dyDescent="0.25">
      <c r="A713" s="396" t="s">
        <v>272</v>
      </c>
      <c r="B713" s="390">
        <v>906</v>
      </c>
      <c r="C713" s="392" t="s">
        <v>264</v>
      </c>
      <c r="D713" s="392" t="s">
        <v>215</v>
      </c>
      <c r="E713" s="392" t="s">
        <v>1239</v>
      </c>
      <c r="F713" s="392" t="s">
        <v>273</v>
      </c>
      <c r="G713" s="397">
        <f t="shared" si="66"/>
        <v>1564</v>
      </c>
      <c r="H713" s="397">
        <f t="shared" si="66"/>
        <v>1564</v>
      </c>
      <c r="I713" s="192"/>
    </row>
    <row r="714" spans="1:9" ht="15.75" x14ac:dyDescent="0.25">
      <c r="A714" s="31" t="s">
        <v>274</v>
      </c>
      <c r="B714" s="390">
        <v>906</v>
      </c>
      <c r="C714" s="392" t="s">
        <v>264</v>
      </c>
      <c r="D714" s="392" t="s">
        <v>215</v>
      </c>
      <c r="E714" s="392" t="s">
        <v>1239</v>
      </c>
      <c r="F714" s="392" t="s">
        <v>275</v>
      </c>
      <c r="G714" s="397">
        <v>1564</v>
      </c>
      <c r="H714" s="397">
        <v>1564</v>
      </c>
      <c r="I714" s="192"/>
    </row>
    <row r="715" spans="1:9" ht="47.25" x14ac:dyDescent="0.25">
      <c r="A715" s="400" t="s">
        <v>1349</v>
      </c>
      <c r="B715" s="391">
        <v>906</v>
      </c>
      <c r="C715" s="395" t="s">
        <v>264</v>
      </c>
      <c r="D715" s="395" t="s">
        <v>215</v>
      </c>
      <c r="E715" s="395" t="s">
        <v>705</v>
      </c>
      <c r="F715" s="403"/>
      <c r="G715" s="44">
        <f>G717</f>
        <v>302.7</v>
      </c>
      <c r="H715" s="44">
        <f>H717</f>
        <v>314.89999999999998</v>
      </c>
      <c r="I715" s="192"/>
    </row>
    <row r="716" spans="1:9" ht="47.25" x14ac:dyDescent="0.25">
      <c r="A716" s="400" t="s">
        <v>889</v>
      </c>
      <c r="B716" s="391">
        <v>906</v>
      </c>
      <c r="C716" s="395" t="s">
        <v>264</v>
      </c>
      <c r="D716" s="395" t="s">
        <v>941</v>
      </c>
      <c r="E716" s="395" t="s">
        <v>887</v>
      </c>
      <c r="F716" s="403"/>
      <c r="G716" s="44">
        <f t="shared" ref="G716:H718" si="67">G717</f>
        <v>302.7</v>
      </c>
      <c r="H716" s="44">
        <f t="shared" si="67"/>
        <v>314.89999999999998</v>
      </c>
      <c r="I716" s="192"/>
    </row>
    <row r="717" spans="1:9" ht="47.25" x14ac:dyDescent="0.25">
      <c r="A717" s="98" t="s">
        <v>780</v>
      </c>
      <c r="B717" s="390">
        <v>906</v>
      </c>
      <c r="C717" s="392" t="s">
        <v>264</v>
      </c>
      <c r="D717" s="392" t="s">
        <v>215</v>
      </c>
      <c r="E717" s="392" t="s">
        <v>935</v>
      </c>
      <c r="F717" s="398"/>
      <c r="G717" s="397">
        <f t="shared" si="67"/>
        <v>302.7</v>
      </c>
      <c r="H717" s="397">
        <f t="shared" si="67"/>
        <v>314.89999999999998</v>
      </c>
      <c r="I717" s="192"/>
    </row>
    <row r="718" spans="1:9" ht="31.5" x14ac:dyDescent="0.25">
      <c r="A718" s="29" t="s">
        <v>272</v>
      </c>
      <c r="B718" s="390">
        <v>906</v>
      </c>
      <c r="C718" s="392" t="s">
        <v>264</v>
      </c>
      <c r="D718" s="392" t="s">
        <v>215</v>
      </c>
      <c r="E718" s="392" t="s">
        <v>935</v>
      </c>
      <c r="F718" s="398" t="s">
        <v>273</v>
      </c>
      <c r="G718" s="397">
        <f t="shared" si="67"/>
        <v>302.7</v>
      </c>
      <c r="H718" s="397">
        <f t="shared" si="67"/>
        <v>314.89999999999998</v>
      </c>
      <c r="I718" s="192"/>
    </row>
    <row r="719" spans="1:9" ht="15.75" x14ac:dyDescent="0.25">
      <c r="A719" s="180" t="s">
        <v>274</v>
      </c>
      <c r="B719" s="390">
        <v>906</v>
      </c>
      <c r="C719" s="392" t="s">
        <v>264</v>
      </c>
      <c r="D719" s="392" t="s">
        <v>215</v>
      </c>
      <c r="E719" s="392" t="s">
        <v>935</v>
      </c>
      <c r="F719" s="398" t="s">
        <v>275</v>
      </c>
      <c r="G719" s="397">
        <v>302.7</v>
      </c>
      <c r="H719" s="397">
        <v>314.89999999999998</v>
      </c>
      <c r="I719" s="192"/>
    </row>
    <row r="720" spans="1:9" ht="15.75" x14ac:dyDescent="0.25">
      <c r="A720" s="394" t="s">
        <v>466</v>
      </c>
      <c r="B720" s="391">
        <v>906</v>
      </c>
      <c r="C720" s="395" t="s">
        <v>264</v>
      </c>
      <c r="D720" s="395" t="s">
        <v>264</v>
      </c>
      <c r="E720" s="395"/>
      <c r="F720" s="395"/>
      <c r="G720" s="393">
        <f>G721</f>
        <v>5745.1</v>
      </c>
      <c r="H720" s="393">
        <f>H721</f>
        <v>5745.1</v>
      </c>
      <c r="I720" s="192"/>
    </row>
    <row r="721" spans="1:9" ht="31.5" x14ac:dyDescent="0.25">
      <c r="A721" s="394" t="s">
        <v>1357</v>
      </c>
      <c r="B721" s="391">
        <v>906</v>
      </c>
      <c r="C721" s="395" t="s">
        <v>264</v>
      </c>
      <c r="D721" s="395" t="s">
        <v>264</v>
      </c>
      <c r="E721" s="395" t="s">
        <v>406</v>
      </c>
      <c r="F721" s="395"/>
      <c r="G721" s="393">
        <f>G722</f>
        <v>5745.1</v>
      </c>
      <c r="H721" s="393">
        <f>H722</f>
        <v>5745.1</v>
      </c>
      <c r="I721" s="192"/>
    </row>
    <row r="722" spans="1:9" ht="31.5" x14ac:dyDescent="0.25">
      <c r="A722" s="394" t="s">
        <v>942</v>
      </c>
      <c r="B722" s="391">
        <v>906</v>
      </c>
      <c r="C722" s="395" t="s">
        <v>264</v>
      </c>
      <c r="D722" s="395" t="s">
        <v>264</v>
      </c>
      <c r="E722" s="395" t="s">
        <v>1237</v>
      </c>
      <c r="F722" s="395"/>
      <c r="G722" s="393">
        <f>G723+G726</f>
        <v>5745.1</v>
      </c>
      <c r="H722" s="393">
        <f>H723+H726</f>
        <v>5745.1</v>
      </c>
      <c r="I722" s="192"/>
    </row>
    <row r="723" spans="1:9" ht="31.5" x14ac:dyDescent="0.25">
      <c r="A723" s="31" t="s">
        <v>1060</v>
      </c>
      <c r="B723" s="390">
        <v>906</v>
      </c>
      <c r="C723" s="392" t="s">
        <v>264</v>
      </c>
      <c r="D723" s="392" t="s">
        <v>264</v>
      </c>
      <c r="E723" s="392" t="s">
        <v>1259</v>
      </c>
      <c r="F723" s="392"/>
      <c r="G723" s="397">
        <f>G724</f>
        <v>5745.1</v>
      </c>
      <c r="H723" s="397">
        <f>H724</f>
        <v>5745.1</v>
      </c>
      <c r="I723" s="192"/>
    </row>
    <row r="724" spans="1:9" ht="31.5" x14ac:dyDescent="0.25">
      <c r="A724" s="396" t="s">
        <v>272</v>
      </c>
      <c r="B724" s="390">
        <v>906</v>
      </c>
      <c r="C724" s="392" t="s">
        <v>264</v>
      </c>
      <c r="D724" s="392" t="s">
        <v>264</v>
      </c>
      <c r="E724" s="392" t="s">
        <v>1259</v>
      </c>
      <c r="F724" s="392" t="s">
        <v>273</v>
      </c>
      <c r="G724" s="397">
        <f>G725</f>
        <v>5745.1</v>
      </c>
      <c r="H724" s="397">
        <f>H725</f>
        <v>5745.1</v>
      </c>
      <c r="I724" s="192"/>
    </row>
    <row r="725" spans="1:9" ht="15.75" x14ac:dyDescent="0.25">
      <c r="A725" s="396" t="s">
        <v>274</v>
      </c>
      <c r="B725" s="390">
        <v>906</v>
      </c>
      <c r="C725" s="392" t="s">
        <v>264</v>
      </c>
      <c r="D725" s="392" t="s">
        <v>264</v>
      </c>
      <c r="E725" s="392" t="s">
        <v>1259</v>
      </c>
      <c r="F725" s="392" t="s">
        <v>275</v>
      </c>
      <c r="G725" s="397">
        <v>5745.1</v>
      </c>
      <c r="H725" s="397">
        <v>5745.1</v>
      </c>
      <c r="I725" s="192"/>
    </row>
    <row r="726" spans="1:9" ht="31.5" hidden="1" x14ac:dyDescent="0.25">
      <c r="A726" s="31" t="s">
        <v>1180</v>
      </c>
      <c r="B726" s="390">
        <v>906</v>
      </c>
      <c r="C726" s="392" t="s">
        <v>264</v>
      </c>
      <c r="D726" s="392" t="s">
        <v>264</v>
      </c>
      <c r="E726" s="392" t="s">
        <v>1260</v>
      </c>
      <c r="F726" s="392"/>
      <c r="G726" s="397">
        <f>G727</f>
        <v>0</v>
      </c>
      <c r="H726" s="397">
        <f>H727</f>
        <v>0</v>
      </c>
      <c r="I726" s="192"/>
    </row>
    <row r="727" spans="1:9" ht="31.5" hidden="1" x14ac:dyDescent="0.25">
      <c r="A727" s="396" t="s">
        <v>272</v>
      </c>
      <c r="B727" s="390">
        <v>906</v>
      </c>
      <c r="C727" s="392" t="s">
        <v>264</v>
      </c>
      <c r="D727" s="392" t="s">
        <v>264</v>
      </c>
      <c r="E727" s="392" t="s">
        <v>1260</v>
      </c>
      <c r="F727" s="392" t="s">
        <v>273</v>
      </c>
      <c r="G727" s="397">
        <f>G728</f>
        <v>0</v>
      </c>
      <c r="H727" s="397">
        <f>H728</f>
        <v>0</v>
      </c>
      <c r="I727" s="192"/>
    </row>
    <row r="728" spans="1:9" ht="15.75" hidden="1" x14ac:dyDescent="0.25">
      <c r="A728" s="396" t="s">
        <v>274</v>
      </c>
      <c r="B728" s="390">
        <v>906</v>
      </c>
      <c r="C728" s="392" t="s">
        <v>264</v>
      </c>
      <c r="D728" s="392" t="s">
        <v>264</v>
      </c>
      <c r="E728" s="392" t="s">
        <v>1260</v>
      </c>
      <c r="F728" s="392" t="s">
        <v>275</v>
      </c>
      <c r="G728" s="397">
        <v>0</v>
      </c>
      <c r="H728" s="397">
        <v>0</v>
      </c>
      <c r="I728" s="192"/>
    </row>
    <row r="729" spans="1:9" ht="15.75" x14ac:dyDescent="0.25">
      <c r="A729" s="394" t="s">
        <v>295</v>
      </c>
      <c r="B729" s="391">
        <v>906</v>
      </c>
      <c r="C729" s="395" t="s">
        <v>264</v>
      </c>
      <c r="D729" s="395" t="s">
        <v>219</v>
      </c>
      <c r="E729" s="395"/>
      <c r="F729" s="395"/>
      <c r="G729" s="393">
        <f>G730+G740</f>
        <v>19831.8</v>
      </c>
      <c r="H729" s="393">
        <f>H730+H740</f>
        <v>19831.8</v>
      </c>
      <c r="I729" s="192"/>
    </row>
    <row r="730" spans="1:9" ht="44.1" customHeight="1" x14ac:dyDescent="0.25">
      <c r="A730" s="394" t="s">
        <v>916</v>
      </c>
      <c r="B730" s="391">
        <v>906</v>
      </c>
      <c r="C730" s="395" t="s">
        <v>264</v>
      </c>
      <c r="D730" s="395" t="s">
        <v>219</v>
      </c>
      <c r="E730" s="395" t="s">
        <v>857</v>
      </c>
      <c r="F730" s="395"/>
      <c r="G730" s="393">
        <f>G731</f>
        <v>6048.7</v>
      </c>
      <c r="H730" s="393">
        <f>H731</f>
        <v>6048.7</v>
      </c>
      <c r="I730" s="192"/>
    </row>
    <row r="731" spans="1:9" ht="15.75" x14ac:dyDescent="0.25">
      <c r="A731" s="394" t="s">
        <v>917</v>
      </c>
      <c r="B731" s="391">
        <v>906</v>
      </c>
      <c r="C731" s="395" t="s">
        <v>264</v>
      </c>
      <c r="D731" s="395" t="s">
        <v>219</v>
      </c>
      <c r="E731" s="395" t="s">
        <v>858</v>
      </c>
      <c r="F731" s="395"/>
      <c r="G731" s="393">
        <f>G732+G737</f>
        <v>6048.7</v>
      </c>
      <c r="H731" s="393">
        <f>H732+H737</f>
        <v>6048.7</v>
      </c>
      <c r="I731" s="192"/>
    </row>
    <row r="732" spans="1:9" ht="31.5" x14ac:dyDescent="0.25">
      <c r="A732" s="396" t="s">
        <v>896</v>
      </c>
      <c r="B732" s="390">
        <v>906</v>
      </c>
      <c r="C732" s="392" t="s">
        <v>264</v>
      </c>
      <c r="D732" s="392" t="s">
        <v>219</v>
      </c>
      <c r="E732" s="392" t="s">
        <v>859</v>
      </c>
      <c r="F732" s="392"/>
      <c r="G732" s="397">
        <f>G733+G735</f>
        <v>5922.7</v>
      </c>
      <c r="H732" s="397">
        <f>H733+H735</f>
        <v>5922.7</v>
      </c>
      <c r="I732" s="192"/>
    </row>
    <row r="733" spans="1:9" ht="78.75" x14ac:dyDescent="0.25">
      <c r="A733" s="396" t="s">
        <v>127</v>
      </c>
      <c r="B733" s="390">
        <v>906</v>
      </c>
      <c r="C733" s="392" t="s">
        <v>264</v>
      </c>
      <c r="D733" s="392" t="s">
        <v>219</v>
      </c>
      <c r="E733" s="392" t="s">
        <v>859</v>
      </c>
      <c r="F733" s="392" t="s">
        <v>128</v>
      </c>
      <c r="G733" s="397">
        <f>G734</f>
        <v>5710.7</v>
      </c>
      <c r="H733" s="397">
        <f>H734</f>
        <v>5710.7</v>
      </c>
      <c r="I733" s="192"/>
    </row>
    <row r="734" spans="1:9" ht="31.5" x14ac:dyDescent="0.25">
      <c r="A734" s="396" t="s">
        <v>129</v>
      </c>
      <c r="B734" s="390">
        <v>906</v>
      </c>
      <c r="C734" s="392" t="s">
        <v>264</v>
      </c>
      <c r="D734" s="392" t="s">
        <v>219</v>
      </c>
      <c r="E734" s="392" t="s">
        <v>859</v>
      </c>
      <c r="F734" s="392" t="s">
        <v>130</v>
      </c>
      <c r="G734" s="397">
        <v>5710.7</v>
      </c>
      <c r="H734" s="397">
        <f t="shared" si="65"/>
        <v>5710.7</v>
      </c>
      <c r="I734" s="192"/>
    </row>
    <row r="735" spans="1:9" ht="31.5" x14ac:dyDescent="0.25">
      <c r="A735" s="396" t="s">
        <v>131</v>
      </c>
      <c r="B735" s="390">
        <v>906</v>
      </c>
      <c r="C735" s="392" t="s">
        <v>264</v>
      </c>
      <c r="D735" s="392" t="s">
        <v>219</v>
      </c>
      <c r="E735" s="392" t="s">
        <v>859</v>
      </c>
      <c r="F735" s="392" t="s">
        <v>132</v>
      </c>
      <c r="G735" s="397">
        <f>G736</f>
        <v>212</v>
      </c>
      <c r="H735" s="397">
        <f>H736</f>
        <v>212</v>
      </c>
      <c r="I735" s="192"/>
    </row>
    <row r="736" spans="1:9" ht="47.25" x14ac:dyDescent="0.25">
      <c r="A736" s="396" t="s">
        <v>133</v>
      </c>
      <c r="B736" s="390">
        <v>906</v>
      </c>
      <c r="C736" s="392" t="s">
        <v>264</v>
      </c>
      <c r="D736" s="392" t="s">
        <v>219</v>
      </c>
      <c r="E736" s="392" t="s">
        <v>859</v>
      </c>
      <c r="F736" s="392" t="s">
        <v>134</v>
      </c>
      <c r="G736" s="397">
        <f>212</f>
        <v>212</v>
      </c>
      <c r="H736" s="397">
        <f t="shared" si="65"/>
        <v>212</v>
      </c>
      <c r="I736" s="192"/>
    </row>
    <row r="737" spans="1:9" ht="47.25" x14ac:dyDescent="0.25">
      <c r="A737" s="396" t="s">
        <v>838</v>
      </c>
      <c r="B737" s="390">
        <v>906</v>
      </c>
      <c r="C737" s="392" t="s">
        <v>264</v>
      </c>
      <c r="D737" s="392" t="s">
        <v>219</v>
      </c>
      <c r="E737" s="392" t="s">
        <v>861</v>
      </c>
      <c r="F737" s="392"/>
      <c r="G737" s="397">
        <f>G738</f>
        <v>126</v>
      </c>
      <c r="H737" s="397">
        <f>H738</f>
        <v>126</v>
      </c>
      <c r="I737" s="192"/>
    </row>
    <row r="738" spans="1:9" ht="78.75" x14ac:dyDescent="0.25">
      <c r="A738" s="396" t="s">
        <v>127</v>
      </c>
      <c r="B738" s="390">
        <v>906</v>
      </c>
      <c r="C738" s="392" t="s">
        <v>264</v>
      </c>
      <c r="D738" s="392" t="s">
        <v>219</v>
      </c>
      <c r="E738" s="392" t="s">
        <v>861</v>
      </c>
      <c r="F738" s="392" t="s">
        <v>128</v>
      </c>
      <c r="G738" s="397">
        <f>G739</f>
        <v>126</v>
      </c>
      <c r="H738" s="397">
        <f>H739</f>
        <v>126</v>
      </c>
      <c r="I738" s="192"/>
    </row>
    <row r="739" spans="1:9" ht="31.5" x14ac:dyDescent="0.25">
      <c r="A739" s="396" t="s">
        <v>129</v>
      </c>
      <c r="B739" s="390">
        <v>906</v>
      </c>
      <c r="C739" s="392" t="s">
        <v>264</v>
      </c>
      <c r="D739" s="392" t="s">
        <v>219</v>
      </c>
      <c r="E739" s="392" t="s">
        <v>861</v>
      </c>
      <c r="F739" s="392" t="s">
        <v>130</v>
      </c>
      <c r="G739" s="397">
        <f>126</f>
        <v>126</v>
      </c>
      <c r="H739" s="397">
        <f t="shared" si="65"/>
        <v>126</v>
      </c>
      <c r="I739" s="192"/>
    </row>
    <row r="740" spans="1:9" ht="15.75" x14ac:dyDescent="0.25">
      <c r="A740" s="394" t="s">
        <v>141</v>
      </c>
      <c r="B740" s="391">
        <v>906</v>
      </c>
      <c r="C740" s="395" t="s">
        <v>264</v>
      </c>
      <c r="D740" s="395" t="s">
        <v>219</v>
      </c>
      <c r="E740" s="395" t="s">
        <v>865</v>
      </c>
      <c r="F740" s="395"/>
      <c r="G740" s="393">
        <f>G741+G745</f>
        <v>13783.1</v>
      </c>
      <c r="H740" s="393">
        <f>H741+H745</f>
        <v>13783.1</v>
      </c>
      <c r="I740" s="192"/>
    </row>
    <row r="741" spans="1:9" ht="31.5" x14ac:dyDescent="0.25">
      <c r="A741" s="394" t="s">
        <v>869</v>
      </c>
      <c r="B741" s="391">
        <v>906</v>
      </c>
      <c r="C741" s="395" t="s">
        <v>264</v>
      </c>
      <c r="D741" s="395" t="s">
        <v>219</v>
      </c>
      <c r="E741" s="395" t="s">
        <v>864</v>
      </c>
      <c r="F741" s="395"/>
      <c r="G741" s="393">
        <f t="shared" ref="G741:H743" si="68">G742</f>
        <v>300</v>
      </c>
      <c r="H741" s="393">
        <f t="shared" si="68"/>
        <v>300</v>
      </c>
      <c r="I741" s="192"/>
    </row>
    <row r="742" spans="1:9" ht="15.75" x14ac:dyDescent="0.25">
      <c r="A742" s="396" t="s">
        <v>478</v>
      </c>
      <c r="B742" s="390">
        <v>906</v>
      </c>
      <c r="C742" s="392" t="s">
        <v>264</v>
      </c>
      <c r="D742" s="392" t="s">
        <v>219</v>
      </c>
      <c r="E742" s="392" t="s">
        <v>943</v>
      </c>
      <c r="F742" s="392"/>
      <c r="G742" s="397">
        <f t="shared" si="68"/>
        <v>300</v>
      </c>
      <c r="H742" s="397">
        <f t="shared" si="68"/>
        <v>300</v>
      </c>
      <c r="I742" s="192"/>
    </row>
    <row r="743" spans="1:9" ht="31.5" x14ac:dyDescent="0.25">
      <c r="A743" s="396" t="s">
        <v>131</v>
      </c>
      <c r="B743" s="390">
        <v>906</v>
      </c>
      <c r="C743" s="392" t="s">
        <v>264</v>
      </c>
      <c r="D743" s="392" t="s">
        <v>219</v>
      </c>
      <c r="E743" s="392" t="s">
        <v>943</v>
      </c>
      <c r="F743" s="392" t="s">
        <v>132</v>
      </c>
      <c r="G743" s="397">
        <f t="shared" si="68"/>
        <v>300</v>
      </c>
      <c r="H743" s="397">
        <f t="shared" si="68"/>
        <v>300</v>
      </c>
      <c r="I743" s="192"/>
    </row>
    <row r="744" spans="1:9" ht="33.950000000000003" customHeight="1" x14ac:dyDescent="0.25">
      <c r="A744" s="396" t="s">
        <v>133</v>
      </c>
      <c r="B744" s="390">
        <v>906</v>
      </c>
      <c r="C744" s="392" t="s">
        <v>264</v>
      </c>
      <c r="D744" s="392" t="s">
        <v>219</v>
      </c>
      <c r="E744" s="392" t="s">
        <v>943</v>
      </c>
      <c r="F744" s="392" t="s">
        <v>134</v>
      </c>
      <c r="G744" s="397">
        <v>300</v>
      </c>
      <c r="H744" s="397">
        <f t="shared" si="65"/>
        <v>300</v>
      </c>
      <c r="I744" s="192"/>
    </row>
    <row r="745" spans="1:9" ht="31.5" x14ac:dyDescent="0.25">
      <c r="A745" s="394" t="s">
        <v>928</v>
      </c>
      <c r="B745" s="391">
        <v>906</v>
      </c>
      <c r="C745" s="395" t="s">
        <v>264</v>
      </c>
      <c r="D745" s="395" t="s">
        <v>219</v>
      </c>
      <c r="E745" s="395" t="s">
        <v>913</v>
      </c>
      <c r="F745" s="395"/>
      <c r="G745" s="393">
        <f>G746+G753</f>
        <v>13483.1</v>
      </c>
      <c r="H745" s="393">
        <f>H746+H753</f>
        <v>13483.1</v>
      </c>
      <c r="I745" s="192"/>
    </row>
    <row r="746" spans="1:9" ht="31.5" x14ac:dyDescent="0.25">
      <c r="A746" s="396" t="s">
        <v>1084</v>
      </c>
      <c r="B746" s="390">
        <v>906</v>
      </c>
      <c r="C746" s="392" t="s">
        <v>264</v>
      </c>
      <c r="D746" s="392" t="s">
        <v>219</v>
      </c>
      <c r="E746" s="392" t="s">
        <v>914</v>
      </c>
      <c r="F746" s="392"/>
      <c r="G746" s="397">
        <f>G747+G749+G751</f>
        <v>12977.1</v>
      </c>
      <c r="H746" s="397">
        <f>H747+H749+H751</f>
        <v>12977.1</v>
      </c>
      <c r="I746" s="192"/>
    </row>
    <row r="747" spans="1:9" ht="78.75" x14ac:dyDescent="0.25">
      <c r="A747" s="396" t="s">
        <v>127</v>
      </c>
      <c r="B747" s="390">
        <v>906</v>
      </c>
      <c r="C747" s="392" t="s">
        <v>264</v>
      </c>
      <c r="D747" s="392" t="s">
        <v>219</v>
      </c>
      <c r="E747" s="392" t="s">
        <v>914</v>
      </c>
      <c r="F747" s="392" t="s">
        <v>128</v>
      </c>
      <c r="G747" s="397">
        <f>G748</f>
        <v>11885.1</v>
      </c>
      <c r="H747" s="397">
        <f t="shared" si="65"/>
        <v>11885.1</v>
      </c>
      <c r="I747" s="192"/>
    </row>
    <row r="748" spans="1:9" ht="31.5" x14ac:dyDescent="0.25">
      <c r="A748" s="396" t="s">
        <v>342</v>
      </c>
      <c r="B748" s="390">
        <v>906</v>
      </c>
      <c r="C748" s="392" t="s">
        <v>264</v>
      </c>
      <c r="D748" s="392" t="s">
        <v>219</v>
      </c>
      <c r="E748" s="392" t="s">
        <v>914</v>
      </c>
      <c r="F748" s="392" t="s">
        <v>209</v>
      </c>
      <c r="G748" s="397">
        <v>11885.1</v>
      </c>
      <c r="H748" s="397">
        <f t="shared" si="65"/>
        <v>11885.1</v>
      </c>
      <c r="I748" s="192"/>
    </row>
    <row r="749" spans="1:9" ht="31.5" x14ac:dyDescent="0.25">
      <c r="A749" s="396" t="s">
        <v>131</v>
      </c>
      <c r="B749" s="390">
        <v>906</v>
      </c>
      <c r="C749" s="392" t="s">
        <v>264</v>
      </c>
      <c r="D749" s="392" t="s">
        <v>219</v>
      </c>
      <c r="E749" s="392" t="s">
        <v>914</v>
      </c>
      <c r="F749" s="392" t="s">
        <v>132</v>
      </c>
      <c r="G749" s="397">
        <f>G750</f>
        <v>1077</v>
      </c>
      <c r="H749" s="397">
        <f t="shared" si="65"/>
        <v>1077</v>
      </c>
      <c r="I749" s="192"/>
    </row>
    <row r="750" spans="1:9" ht="47.25" x14ac:dyDescent="0.25">
      <c r="A750" s="396" t="s">
        <v>133</v>
      </c>
      <c r="B750" s="390">
        <v>906</v>
      </c>
      <c r="C750" s="392" t="s">
        <v>264</v>
      </c>
      <c r="D750" s="392" t="s">
        <v>219</v>
      </c>
      <c r="E750" s="392" t="s">
        <v>914</v>
      </c>
      <c r="F750" s="392" t="s">
        <v>134</v>
      </c>
      <c r="G750" s="397">
        <f>1077</f>
        <v>1077</v>
      </c>
      <c r="H750" s="397">
        <f t="shared" si="65"/>
        <v>1077</v>
      </c>
      <c r="I750" s="192"/>
    </row>
    <row r="751" spans="1:9" ht="15.75" x14ac:dyDescent="0.25">
      <c r="A751" s="396" t="s">
        <v>135</v>
      </c>
      <c r="B751" s="390">
        <v>906</v>
      </c>
      <c r="C751" s="392" t="s">
        <v>264</v>
      </c>
      <c r="D751" s="392" t="s">
        <v>219</v>
      </c>
      <c r="E751" s="392" t="s">
        <v>914</v>
      </c>
      <c r="F751" s="392" t="s">
        <v>145</v>
      </c>
      <c r="G751" s="397">
        <f>G752</f>
        <v>15</v>
      </c>
      <c r="H751" s="397">
        <f t="shared" si="65"/>
        <v>15</v>
      </c>
      <c r="I751" s="192"/>
    </row>
    <row r="752" spans="1:9" ht="15.75" x14ac:dyDescent="0.25">
      <c r="A752" s="396" t="s">
        <v>568</v>
      </c>
      <c r="B752" s="390">
        <v>906</v>
      </c>
      <c r="C752" s="392" t="s">
        <v>264</v>
      </c>
      <c r="D752" s="392" t="s">
        <v>219</v>
      </c>
      <c r="E752" s="392" t="s">
        <v>914</v>
      </c>
      <c r="F752" s="392" t="s">
        <v>138</v>
      </c>
      <c r="G752" s="397">
        <f>15</f>
        <v>15</v>
      </c>
      <c r="H752" s="397">
        <f t="shared" si="65"/>
        <v>15</v>
      </c>
      <c r="I752" s="192"/>
    </row>
    <row r="753" spans="1:9" ht="47.25" x14ac:dyDescent="0.25">
      <c r="A753" s="396" t="s">
        <v>838</v>
      </c>
      <c r="B753" s="390">
        <v>906</v>
      </c>
      <c r="C753" s="392" t="s">
        <v>264</v>
      </c>
      <c r="D753" s="392" t="s">
        <v>219</v>
      </c>
      <c r="E753" s="392" t="s">
        <v>915</v>
      </c>
      <c r="F753" s="392"/>
      <c r="G753" s="397">
        <f>G754</f>
        <v>506</v>
      </c>
      <c r="H753" s="397">
        <f>H754</f>
        <v>506</v>
      </c>
      <c r="I753" s="192"/>
    </row>
    <row r="754" spans="1:9" ht="78.75" x14ac:dyDescent="0.25">
      <c r="A754" s="396" t="s">
        <v>127</v>
      </c>
      <c r="B754" s="390">
        <v>906</v>
      </c>
      <c r="C754" s="392" t="s">
        <v>264</v>
      </c>
      <c r="D754" s="392" t="s">
        <v>219</v>
      </c>
      <c r="E754" s="392" t="s">
        <v>915</v>
      </c>
      <c r="F754" s="392" t="s">
        <v>128</v>
      </c>
      <c r="G754" s="397">
        <f>G755</f>
        <v>506</v>
      </c>
      <c r="H754" s="397">
        <f>H755</f>
        <v>506</v>
      </c>
      <c r="I754" s="192"/>
    </row>
    <row r="755" spans="1:9" ht="31.5" x14ac:dyDescent="0.25">
      <c r="A755" s="396" t="s">
        <v>342</v>
      </c>
      <c r="B755" s="390">
        <v>906</v>
      </c>
      <c r="C755" s="392" t="s">
        <v>264</v>
      </c>
      <c r="D755" s="392" t="s">
        <v>219</v>
      </c>
      <c r="E755" s="392" t="s">
        <v>915</v>
      </c>
      <c r="F755" s="392" t="s">
        <v>209</v>
      </c>
      <c r="G755" s="397">
        <v>506</v>
      </c>
      <c r="H755" s="397">
        <v>506</v>
      </c>
      <c r="I755" s="192"/>
    </row>
    <row r="756" spans="1:9" ht="31.5" x14ac:dyDescent="0.25">
      <c r="A756" s="391" t="s">
        <v>1367</v>
      </c>
      <c r="B756" s="391">
        <v>907</v>
      </c>
      <c r="C756" s="392"/>
      <c r="D756" s="392"/>
      <c r="E756" s="392"/>
      <c r="F756" s="392"/>
      <c r="G756" s="393">
        <f>G764+G757</f>
        <v>64081.399999999994</v>
      </c>
      <c r="H756" s="393">
        <f>H764+H757</f>
        <v>64012.600000000006</v>
      </c>
      <c r="I756" s="192"/>
    </row>
    <row r="757" spans="1:9" ht="15.75" x14ac:dyDescent="0.25">
      <c r="A757" s="394" t="s">
        <v>117</v>
      </c>
      <c r="B757" s="391">
        <v>907</v>
      </c>
      <c r="C757" s="395" t="s">
        <v>118</v>
      </c>
      <c r="D757" s="395"/>
      <c r="E757" s="395"/>
      <c r="F757" s="395"/>
      <c r="G757" s="393">
        <f t="shared" ref="G757:H762" si="69">G758</f>
        <v>100</v>
      </c>
      <c r="H757" s="393">
        <f t="shared" si="69"/>
        <v>0</v>
      </c>
      <c r="I757" s="192"/>
    </row>
    <row r="758" spans="1:9" ht="15.75" x14ac:dyDescent="0.25">
      <c r="A758" s="34" t="s">
        <v>139</v>
      </c>
      <c r="B758" s="391">
        <v>907</v>
      </c>
      <c r="C758" s="395" t="s">
        <v>118</v>
      </c>
      <c r="D758" s="395" t="s">
        <v>140</v>
      </c>
      <c r="E758" s="395"/>
      <c r="F758" s="395"/>
      <c r="G758" s="393">
        <f t="shared" si="69"/>
        <v>100</v>
      </c>
      <c r="H758" s="393">
        <f t="shared" si="69"/>
        <v>0</v>
      </c>
      <c r="I758" s="192"/>
    </row>
    <row r="759" spans="1:9" ht="47.25" x14ac:dyDescent="0.25">
      <c r="A759" s="394" t="s">
        <v>1348</v>
      </c>
      <c r="B759" s="391">
        <v>907</v>
      </c>
      <c r="C759" s="395" t="s">
        <v>118</v>
      </c>
      <c r="D759" s="395" t="s">
        <v>140</v>
      </c>
      <c r="E759" s="395" t="s">
        <v>335</v>
      </c>
      <c r="F759" s="395"/>
      <c r="G759" s="393">
        <f t="shared" si="69"/>
        <v>100</v>
      </c>
      <c r="H759" s="393">
        <f t="shared" si="69"/>
        <v>0</v>
      </c>
      <c r="I759" s="192"/>
    </row>
    <row r="760" spans="1:9" ht="31.5" x14ac:dyDescent="0.25">
      <c r="A760" s="197" t="s">
        <v>1050</v>
      </c>
      <c r="B760" s="391">
        <v>907</v>
      </c>
      <c r="C760" s="395" t="s">
        <v>118</v>
      </c>
      <c r="D760" s="395" t="s">
        <v>140</v>
      </c>
      <c r="E760" s="395" t="s">
        <v>1051</v>
      </c>
      <c r="F760" s="395"/>
      <c r="G760" s="393">
        <f t="shared" si="69"/>
        <v>100</v>
      </c>
      <c r="H760" s="393">
        <f t="shared" si="69"/>
        <v>0</v>
      </c>
      <c r="I760" s="192"/>
    </row>
    <row r="761" spans="1:9" ht="31.5" x14ac:dyDescent="0.25">
      <c r="A761" s="97" t="s">
        <v>336</v>
      </c>
      <c r="B761" s="390">
        <v>907</v>
      </c>
      <c r="C761" s="392" t="s">
        <v>118</v>
      </c>
      <c r="D761" s="392" t="s">
        <v>140</v>
      </c>
      <c r="E761" s="392" t="s">
        <v>1052</v>
      </c>
      <c r="F761" s="392"/>
      <c r="G761" s="397">
        <f t="shared" si="69"/>
        <v>100</v>
      </c>
      <c r="H761" s="397">
        <f t="shared" si="69"/>
        <v>0</v>
      </c>
      <c r="I761" s="192"/>
    </row>
    <row r="762" spans="1:9" ht="31.5" x14ac:dyDescent="0.25">
      <c r="A762" s="396" t="s">
        <v>131</v>
      </c>
      <c r="B762" s="390">
        <v>907</v>
      </c>
      <c r="C762" s="392" t="s">
        <v>118</v>
      </c>
      <c r="D762" s="392" t="s">
        <v>140</v>
      </c>
      <c r="E762" s="392" t="s">
        <v>1052</v>
      </c>
      <c r="F762" s="392" t="s">
        <v>132</v>
      </c>
      <c r="G762" s="397">
        <f t="shared" si="69"/>
        <v>100</v>
      </c>
      <c r="H762" s="397">
        <f t="shared" si="69"/>
        <v>0</v>
      </c>
      <c r="I762" s="192"/>
    </row>
    <row r="763" spans="1:9" ht="47.25" x14ac:dyDescent="0.25">
      <c r="A763" s="396" t="s">
        <v>133</v>
      </c>
      <c r="B763" s="390">
        <v>907</v>
      </c>
      <c r="C763" s="392" t="s">
        <v>118</v>
      </c>
      <c r="D763" s="392" t="s">
        <v>140</v>
      </c>
      <c r="E763" s="392" t="s">
        <v>1052</v>
      </c>
      <c r="F763" s="392" t="s">
        <v>134</v>
      </c>
      <c r="G763" s="397">
        <v>100</v>
      </c>
      <c r="H763" s="397">
        <v>0</v>
      </c>
      <c r="I763" s="192"/>
    </row>
    <row r="764" spans="1:9" ht="15.75" x14ac:dyDescent="0.25">
      <c r="A764" s="394" t="s">
        <v>490</v>
      </c>
      <c r="B764" s="391">
        <v>907</v>
      </c>
      <c r="C764" s="395" t="s">
        <v>491</v>
      </c>
      <c r="D764" s="392"/>
      <c r="E764" s="392"/>
      <c r="F764" s="392"/>
      <c r="G764" s="393">
        <f>G765+G803</f>
        <v>63981.399999999994</v>
      </c>
      <c r="H764" s="393">
        <f>H765+H803</f>
        <v>64012.600000000006</v>
      </c>
      <c r="I764" s="192"/>
    </row>
    <row r="765" spans="1:9" ht="15.75" x14ac:dyDescent="0.25">
      <c r="A765" s="394" t="s">
        <v>492</v>
      </c>
      <c r="B765" s="391">
        <v>907</v>
      </c>
      <c r="C765" s="395" t="s">
        <v>491</v>
      </c>
      <c r="D765" s="395" t="s">
        <v>118</v>
      </c>
      <c r="E765" s="392"/>
      <c r="F765" s="392"/>
      <c r="G765" s="393">
        <f>G766+G798+G793</f>
        <v>50452.2</v>
      </c>
      <c r="H765" s="393">
        <f>H766+H798+H793</f>
        <v>50483.4</v>
      </c>
      <c r="I765" s="192"/>
    </row>
    <row r="766" spans="1:9" ht="47.25" x14ac:dyDescent="0.25">
      <c r="A766" s="394" t="s">
        <v>1368</v>
      </c>
      <c r="B766" s="391">
        <v>907</v>
      </c>
      <c r="C766" s="395" t="s">
        <v>491</v>
      </c>
      <c r="D766" s="395" t="s">
        <v>118</v>
      </c>
      <c r="E766" s="395" t="s">
        <v>482</v>
      </c>
      <c r="F766" s="395"/>
      <c r="G766" s="393">
        <f>G767+G778+G782+G789</f>
        <v>49873.1</v>
      </c>
      <c r="H766" s="393">
        <f>H767+H778+H782+H789</f>
        <v>49873.1</v>
      </c>
      <c r="I766" s="192"/>
    </row>
    <row r="767" spans="1:9" ht="31.5" x14ac:dyDescent="0.25">
      <c r="A767" s="394" t="s">
        <v>936</v>
      </c>
      <c r="B767" s="391">
        <v>907</v>
      </c>
      <c r="C767" s="395" t="s">
        <v>491</v>
      </c>
      <c r="D767" s="395" t="s">
        <v>118</v>
      </c>
      <c r="E767" s="395" t="s">
        <v>1261</v>
      </c>
      <c r="F767" s="395"/>
      <c r="G767" s="393">
        <f t="shared" ref="G767:H769" si="70">G768</f>
        <v>47819.6</v>
      </c>
      <c r="H767" s="393">
        <f t="shared" si="70"/>
        <v>47819.6</v>
      </c>
      <c r="I767" s="192"/>
    </row>
    <row r="768" spans="1:9" ht="31.5" x14ac:dyDescent="0.25">
      <c r="A768" s="396" t="s">
        <v>1291</v>
      </c>
      <c r="B768" s="390">
        <v>907</v>
      </c>
      <c r="C768" s="392" t="s">
        <v>491</v>
      </c>
      <c r="D768" s="392" t="s">
        <v>118</v>
      </c>
      <c r="E768" s="392" t="s">
        <v>1262</v>
      </c>
      <c r="F768" s="392"/>
      <c r="G768" s="397">
        <f t="shared" si="70"/>
        <v>47819.6</v>
      </c>
      <c r="H768" s="397">
        <f t="shared" si="70"/>
        <v>47819.6</v>
      </c>
      <c r="I768" s="192"/>
    </row>
    <row r="769" spans="1:9" ht="31.5" x14ac:dyDescent="0.25">
      <c r="A769" s="396" t="s">
        <v>272</v>
      </c>
      <c r="B769" s="390">
        <v>907</v>
      </c>
      <c r="C769" s="392" t="s">
        <v>491</v>
      </c>
      <c r="D769" s="392" t="s">
        <v>118</v>
      </c>
      <c r="E769" s="392" t="s">
        <v>1262</v>
      </c>
      <c r="F769" s="392" t="s">
        <v>273</v>
      </c>
      <c r="G769" s="397">
        <f t="shared" si="70"/>
        <v>47819.6</v>
      </c>
      <c r="H769" s="397">
        <f t="shared" si="70"/>
        <v>47819.6</v>
      </c>
      <c r="I769" s="192"/>
    </row>
    <row r="770" spans="1:9" ht="15.75" x14ac:dyDescent="0.25">
      <c r="A770" s="396" t="s">
        <v>274</v>
      </c>
      <c r="B770" s="390">
        <v>907</v>
      </c>
      <c r="C770" s="392" t="s">
        <v>491</v>
      </c>
      <c r="D770" s="392" t="s">
        <v>118</v>
      </c>
      <c r="E770" s="392" t="s">
        <v>1262</v>
      </c>
      <c r="F770" s="392" t="s">
        <v>275</v>
      </c>
      <c r="G770" s="397">
        <v>47819.6</v>
      </c>
      <c r="H770" s="397">
        <f t="shared" si="65"/>
        <v>47819.6</v>
      </c>
      <c r="I770" s="192"/>
    </row>
    <row r="771" spans="1:9" ht="31.5" x14ac:dyDescent="0.25">
      <c r="A771" s="394" t="s">
        <v>944</v>
      </c>
      <c r="B771" s="391">
        <v>907</v>
      </c>
      <c r="C771" s="395" t="s">
        <v>491</v>
      </c>
      <c r="D771" s="395" t="s">
        <v>118</v>
      </c>
      <c r="E771" s="395" t="s">
        <v>945</v>
      </c>
      <c r="F771" s="395"/>
      <c r="G771" s="44">
        <f>G772+G775+G779</f>
        <v>36</v>
      </c>
      <c r="H771" s="44">
        <f>H772+H775+H779</f>
        <v>36</v>
      </c>
      <c r="I771" s="192"/>
    </row>
    <row r="772" spans="1:9" ht="31.5" hidden="1" x14ac:dyDescent="0.25">
      <c r="A772" s="396" t="s">
        <v>278</v>
      </c>
      <c r="B772" s="390">
        <v>907</v>
      </c>
      <c r="C772" s="392" t="s">
        <v>491</v>
      </c>
      <c r="D772" s="392" t="s">
        <v>118</v>
      </c>
      <c r="E772" s="392" t="s">
        <v>948</v>
      </c>
      <c r="F772" s="392"/>
      <c r="G772" s="397">
        <f>'[1]Пр.5 ведом.21'!G761</f>
        <v>0</v>
      </c>
      <c r="H772" s="397">
        <f t="shared" ref="H772:H830" si="71">G772</f>
        <v>0</v>
      </c>
      <c r="I772" s="192"/>
    </row>
    <row r="773" spans="1:9" ht="31.5" hidden="1" x14ac:dyDescent="0.25">
      <c r="A773" s="396" t="s">
        <v>272</v>
      </c>
      <c r="B773" s="390">
        <v>907</v>
      </c>
      <c r="C773" s="392" t="s">
        <v>491</v>
      </c>
      <c r="D773" s="392" t="s">
        <v>118</v>
      </c>
      <c r="E773" s="392" t="s">
        <v>948</v>
      </c>
      <c r="F773" s="392" t="s">
        <v>273</v>
      </c>
      <c r="G773" s="397">
        <f>'[1]Пр.5 ведом.21'!G762</f>
        <v>0</v>
      </c>
      <c r="H773" s="397">
        <f t="shared" si="71"/>
        <v>0</v>
      </c>
      <c r="I773" s="192"/>
    </row>
    <row r="774" spans="1:9" ht="15.75" hidden="1" x14ac:dyDescent="0.25">
      <c r="A774" s="396" t="s">
        <v>274</v>
      </c>
      <c r="B774" s="390">
        <v>907</v>
      </c>
      <c r="C774" s="392" t="s">
        <v>491</v>
      </c>
      <c r="D774" s="392" t="s">
        <v>118</v>
      </c>
      <c r="E774" s="392" t="s">
        <v>948</v>
      </c>
      <c r="F774" s="392" t="s">
        <v>275</v>
      </c>
      <c r="G774" s="397">
        <f>'[1]Пр.5 ведом.21'!G763</f>
        <v>0</v>
      </c>
      <c r="H774" s="397">
        <f t="shared" si="71"/>
        <v>0</v>
      </c>
      <c r="I774" s="192"/>
    </row>
    <row r="775" spans="1:9" ht="31.5" hidden="1" x14ac:dyDescent="0.25">
      <c r="A775" s="396" t="s">
        <v>280</v>
      </c>
      <c r="B775" s="390">
        <v>907</v>
      </c>
      <c r="C775" s="392" t="s">
        <v>491</v>
      </c>
      <c r="D775" s="392" t="s">
        <v>118</v>
      </c>
      <c r="E775" s="392" t="s">
        <v>949</v>
      </c>
      <c r="F775" s="392"/>
      <c r="G775" s="397">
        <f>G776</f>
        <v>0</v>
      </c>
      <c r="H775" s="397">
        <f>H776</f>
        <v>0</v>
      </c>
      <c r="I775" s="192"/>
    </row>
    <row r="776" spans="1:9" ht="31.5" hidden="1" x14ac:dyDescent="0.25">
      <c r="A776" s="396" t="s">
        <v>272</v>
      </c>
      <c r="B776" s="390">
        <v>907</v>
      </c>
      <c r="C776" s="392" t="s">
        <v>491</v>
      </c>
      <c r="D776" s="392" t="s">
        <v>118</v>
      </c>
      <c r="E776" s="392" t="s">
        <v>949</v>
      </c>
      <c r="F776" s="392" t="s">
        <v>273</v>
      </c>
      <c r="G776" s="397">
        <f>G777</f>
        <v>0</v>
      </c>
      <c r="H776" s="397">
        <f>H777</f>
        <v>0</v>
      </c>
      <c r="I776" s="192"/>
    </row>
    <row r="777" spans="1:9" ht="15.75" hidden="1" x14ac:dyDescent="0.25">
      <c r="A777" s="396" t="s">
        <v>274</v>
      </c>
      <c r="B777" s="390">
        <v>907</v>
      </c>
      <c r="C777" s="392" t="s">
        <v>491</v>
      </c>
      <c r="D777" s="392" t="s">
        <v>118</v>
      </c>
      <c r="E777" s="392" t="s">
        <v>949</v>
      </c>
      <c r="F777" s="392" t="s">
        <v>275</v>
      </c>
      <c r="G777" s="397">
        <v>0</v>
      </c>
      <c r="H777" s="397">
        <f t="shared" si="71"/>
        <v>0</v>
      </c>
      <c r="I777" s="192"/>
    </row>
    <row r="778" spans="1:9" ht="31.5" x14ac:dyDescent="0.25">
      <c r="A778" s="394" t="s">
        <v>944</v>
      </c>
      <c r="B778" s="391">
        <v>907</v>
      </c>
      <c r="C778" s="395" t="s">
        <v>491</v>
      </c>
      <c r="D778" s="395" t="s">
        <v>118</v>
      </c>
      <c r="E778" s="395" t="s">
        <v>1263</v>
      </c>
      <c r="F778" s="392"/>
      <c r="G778" s="393">
        <f t="shared" ref="G778:H780" si="72">G779</f>
        <v>36</v>
      </c>
      <c r="H778" s="393">
        <f t="shared" si="72"/>
        <v>36</v>
      </c>
      <c r="I778" s="192"/>
    </row>
    <row r="779" spans="1:9" ht="15.75" x14ac:dyDescent="0.25">
      <c r="A779" s="396" t="s">
        <v>829</v>
      </c>
      <c r="B779" s="390">
        <v>907</v>
      </c>
      <c r="C779" s="392" t="s">
        <v>491</v>
      </c>
      <c r="D779" s="392" t="s">
        <v>118</v>
      </c>
      <c r="E779" s="392" t="s">
        <v>1264</v>
      </c>
      <c r="F779" s="392"/>
      <c r="G779" s="397">
        <f t="shared" si="72"/>
        <v>36</v>
      </c>
      <c r="H779" s="397">
        <f t="shared" si="72"/>
        <v>36</v>
      </c>
      <c r="I779" s="192"/>
    </row>
    <row r="780" spans="1:9" ht="31.5" x14ac:dyDescent="0.25">
      <c r="A780" s="396" t="s">
        <v>272</v>
      </c>
      <c r="B780" s="390">
        <v>907</v>
      </c>
      <c r="C780" s="392" t="s">
        <v>491</v>
      </c>
      <c r="D780" s="392" t="s">
        <v>118</v>
      </c>
      <c r="E780" s="392" t="s">
        <v>1264</v>
      </c>
      <c r="F780" s="392" t="s">
        <v>273</v>
      </c>
      <c r="G780" s="397">
        <f t="shared" si="72"/>
        <v>36</v>
      </c>
      <c r="H780" s="397">
        <f t="shared" si="72"/>
        <v>36</v>
      </c>
      <c r="I780" s="192"/>
    </row>
    <row r="781" spans="1:9" ht="15.75" x14ac:dyDescent="0.25">
      <c r="A781" s="396" t="s">
        <v>274</v>
      </c>
      <c r="B781" s="390">
        <v>907</v>
      </c>
      <c r="C781" s="392" t="s">
        <v>491</v>
      </c>
      <c r="D781" s="392" t="s">
        <v>118</v>
      </c>
      <c r="E781" s="392" t="s">
        <v>1264</v>
      </c>
      <c r="F781" s="392" t="s">
        <v>275</v>
      </c>
      <c r="G781" s="397">
        <f>36</f>
        <v>36</v>
      </c>
      <c r="H781" s="397">
        <f t="shared" si="71"/>
        <v>36</v>
      </c>
      <c r="I781" s="192"/>
    </row>
    <row r="782" spans="1:9" ht="31.5" x14ac:dyDescent="0.25">
      <c r="A782" s="394" t="s">
        <v>946</v>
      </c>
      <c r="B782" s="391">
        <v>907</v>
      </c>
      <c r="C782" s="395" t="s">
        <v>491</v>
      </c>
      <c r="D782" s="395" t="s">
        <v>118</v>
      </c>
      <c r="E782" s="395" t="s">
        <v>1265</v>
      </c>
      <c r="F782" s="395"/>
      <c r="G782" s="393">
        <f>G783+G786</f>
        <v>1204</v>
      </c>
      <c r="H782" s="393">
        <f>H783+H786</f>
        <v>1204</v>
      </c>
      <c r="I782" s="192"/>
    </row>
    <row r="783" spans="1:9" ht="31.5" hidden="1" x14ac:dyDescent="0.25">
      <c r="A783" s="396" t="s">
        <v>791</v>
      </c>
      <c r="B783" s="390">
        <v>907</v>
      </c>
      <c r="C783" s="392" t="s">
        <v>491</v>
      </c>
      <c r="D783" s="392" t="s">
        <v>118</v>
      </c>
      <c r="E783" s="392" t="s">
        <v>1303</v>
      </c>
      <c r="F783" s="392"/>
      <c r="G783" s="397">
        <f>'[1]Пр.5 ведом.21'!G771</f>
        <v>0</v>
      </c>
      <c r="H783" s="397">
        <f t="shared" si="71"/>
        <v>0</v>
      </c>
      <c r="I783" s="192"/>
    </row>
    <row r="784" spans="1:9" ht="31.5" hidden="1" x14ac:dyDescent="0.25">
      <c r="A784" s="396" t="s">
        <v>272</v>
      </c>
      <c r="B784" s="390">
        <v>907</v>
      </c>
      <c r="C784" s="392" t="s">
        <v>491</v>
      </c>
      <c r="D784" s="392" t="s">
        <v>118</v>
      </c>
      <c r="E784" s="392" t="s">
        <v>1303</v>
      </c>
      <c r="F784" s="392" t="s">
        <v>273</v>
      </c>
      <c r="G784" s="397">
        <f>'[1]Пр.5 ведом.21'!G772</f>
        <v>0</v>
      </c>
      <c r="H784" s="397">
        <f t="shared" si="71"/>
        <v>0</v>
      </c>
      <c r="I784" s="192"/>
    </row>
    <row r="785" spans="1:9" ht="15.75" hidden="1" x14ac:dyDescent="0.25">
      <c r="A785" s="396" t="s">
        <v>274</v>
      </c>
      <c r="B785" s="390">
        <v>907</v>
      </c>
      <c r="C785" s="392" t="s">
        <v>491</v>
      </c>
      <c r="D785" s="392" t="s">
        <v>118</v>
      </c>
      <c r="E785" s="392" t="s">
        <v>1303</v>
      </c>
      <c r="F785" s="392" t="s">
        <v>275</v>
      </c>
      <c r="G785" s="397">
        <f>'[1]Пр.5 ведом.21'!G773</f>
        <v>0</v>
      </c>
      <c r="H785" s="397">
        <f t="shared" si="71"/>
        <v>0</v>
      </c>
      <c r="I785" s="192"/>
    </row>
    <row r="786" spans="1:9" ht="31.5" x14ac:dyDescent="0.25">
      <c r="A786" s="45" t="s">
        <v>764</v>
      </c>
      <c r="B786" s="390">
        <v>907</v>
      </c>
      <c r="C786" s="392" t="s">
        <v>491</v>
      </c>
      <c r="D786" s="392" t="s">
        <v>118</v>
      </c>
      <c r="E786" s="392" t="s">
        <v>1266</v>
      </c>
      <c r="F786" s="392"/>
      <c r="G786" s="397">
        <f>G787</f>
        <v>1204</v>
      </c>
      <c r="H786" s="397">
        <f>H787</f>
        <v>1204</v>
      </c>
      <c r="I786" s="192"/>
    </row>
    <row r="787" spans="1:9" ht="31.5" x14ac:dyDescent="0.25">
      <c r="A787" s="31" t="s">
        <v>272</v>
      </c>
      <c r="B787" s="390">
        <v>907</v>
      </c>
      <c r="C787" s="392" t="s">
        <v>491</v>
      </c>
      <c r="D787" s="392" t="s">
        <v>118</v>
      </c>
      <c r="E787" s="392" t="s">
        <v>1266</v>
      </c>
      <c r="F787" s="392" t="s">
        <v>273</v>
      </c>
      <c r="G787" s="397">
        <f>G788</f>
        <v>1204</v>
      </c>
      <c r="H787" s="397">
        <f>H788</f>
        <v>1204</v>
      </c>
      <c r="I787" s="192"/>
    </row>
    <row r="788" spans="1:9" ht="15.75" x14ac:dyDescent="0.25">
      <c r="A788" s="31" t="s">
        <v>274</v>
      </c>
      <c r="B788" s="390">
        <v>907</v>
      </c>
      <c r="C788" s="392" t="s">
        <v>491</v>
      </c>
      <c r="D788" s="392" t="s">
        <v>118</v>
      </c>
      <c r="E788" s="392" t="s">
        <v>1266</v>
      </c>
      <c r="F788" s="392" t="s">
        <v>275</v>
      </c>
      <c r="G788" s="397">
        <v>1204</v>
      </c>
      <c r="H788" s="397">
        <f t="shared" si="71"/>
        <v>1204</v>
      </c>
      <c r="I788" s="192"/>
    </row>
    <row r="789" spans="1:9" ht="47.25" x14ac:dyDescent="0.25">
      <c r="A789" s="394" t="s">
        <v>899</v>
      </c>
      <c r="B789" s="391">
        <v>907</v>
      </c>
      <c r="C789" s="395" t="s">
        <v>491</v>
      </c>
      <c r="D789" s="395" t="s">
        <v>118</v>
      </c>
      <c r="E789" s="395" t="s">
        <v>1267</v>
      </c>
      <c r="F789" s="395"/>
      <c r="G789" s="393">
        <f>G790</f>
        <v>813.5</v>
      </c>
      <c r="H789" s="393">
        <f>H790</f>
        <v>813.5</v>
      </c>
      <c r="I789" s="192"/>
    </row>
    <row r="790" spans="1:9" ht="94.5" x14ac:dyDescent="0.25">
      <c r="A790" s="31" t="s">
        <v>464</v>
      </c>
      <c r="B790" s="390">
        <v>907</v>
      </c>
      <c r="C790" s="392" t="s">
        <v>491</v>
      </c>
      <c r="D790" s="392" t="s">
        <v>118</v>
      </c>
      <c r="E790" s="392" t="s">
        <v>1401</v>
      </c>
      <c r="F790" s="392"/>
      <c r="G790" s="397">
        <f t="shared" ref="G790:H791" si="73">G791</f>
        <v>813.5</v>
      </c>
      <c r="H790" s="397">
        <f t="shared" si="73"/>
        <v>813.5</v>
      </c>
      <c r="I790" s="192"/>
    </row>
    <row r="791" spans="1:9" ht="31.5" x14ac:dyDescent="0.25">
      <c r="A791" s="396" t="s">
        <v>272</v>
      </c>
      <c r="B791" s="390">
        <v>907</v>
      </c>
      <c r="C791" s="392" t="s">
        <v>491</v>
      </c>
      <c r="D791" s="392" t="s">
        <v>118</v>
      </c>
      <c r="E791" s="392" t="s">
        <v>1401</v>
      </c>
      <c r="F791" s="392" t="s">
        <v>273</v>
      </c>
      <c r="G791" s="397">
        <f t="shared" si="73"/>
        <v>813.5</v>
      </c>
      <c r="H791" s="397">
        <f t="shared" si="73"/>
        <v>813.5</v>
      </c>
      <c r="I791" s="192"/>
    </row>
    <row r="792" spans="1:9" ht="15.75" x14ac:dyDescent="0.25">
      <c r="A792" s="396" t="s">
        <v>274</v>
      </c>
      <c r="B792" s="390">
        <v>907</v>
      </c>
      <c r="C792" s="392" t="s">
        <v>491</v>
      </c>
      <c r="D792" s="392" t="s">
        <v>118</v>
      </c>
      <c r="E792" s="392" t="s">
        <v>1401</v>
      </c>
      <c r="F792" s="392" t="s">
        <v>275</v>
      </c>
      <c r="G792" s="397">
        <f>813.5</f>
        <v>813.5</v>
      </c>
      <c r="H792" s="397">
        <f t="shared" si="71"/>
        <v>813.5</v>
      </c>
      <c r="I792" s="238">
        <f>12177.1/11326*870.2</f>
        <v>935.59177291188428</v>
      </c>
    </row>
    <row r="793" spans="1:9" ht="47.25" x14ac:dyDescent="0.25">
      <c r="A793" s="34" t="s">
        <v>1356</v>
      </c>
      <c r="B793" s="391">
        <v>907</v>
      </c>
      <c r="C793" s="395" t="s">
        <v>491</v>
      </c>
      <c r="D793" s="395" t="s">
        <v>118</v>
      </c>
      <c r="E793" s="395" t="s">
        <v>324</v>
      </c>
      <c r="F793" s="395"/>
      <c r="G793" s="393">
        <f t="shared" ref="G793:H796" si="74">G794</f>
        <v>0</v>
      </c>
      <c r="H793" s="393">
        <f t="shared" si="74"/>
        <v>8</v>
      </c>
      <c r="I793" s="238"/>
    </row>
    <row r="794" spans="1:9" ht="63" x14ac:dyDescent="0.25">
      <c r="A794" s="34" t="s">
        <v>1008</v>
      </c>
      <c r="B794" s="391">
        <v>907</v>
      </c>
      <c r="C794" s="395" t="s">
        <v>491</v>
      </c>
      <c r="D794" s="395" t="s">
        <v>118</v>
      </c>
      <c r="E794" s="395" t="s">
        <v>933</v>
      </c>
      <c r="F794" s="395"/>
      <c r="G794" s="393">
        <f t="shared" si="74"/>
        <v>0</v>
      </c>
      <c r="H794" s="393">
        <f t="shared" si="74"/>
        <v>8</v>
      </c>
      <c r="I794" s="238"/>
    </row>
    <row r="795" spans="1:9" ht="47.25" x14ac:dyDescent="0.25">
      <c r="A795" s="31" t="s">
        <v>1082</v>
      </c>
      <c r="B795" s="390">
        <v>907</v>
      </c>
      <c r="C795" s="392" t="s">
        <v>491</v>
      </c>
      <c r="D795" s="392" t="s">
        <v>118</v>
      </c>
      <c r="E795" s="392" t="s">
        <v>934</v>
      </c>
      <c r="F795" s="392"/>
      <c r="G795" s="397">
        <f t="shared" si="74"/>
        <v>0</v>
      </c>
      <c r="H795" s="397">
        <f t="shared" si="74"/>
        <v>8</v>
      </c>
      <c r="I795" s="238"/>
    </row>
    <row r="796" spans="1:9" ht="31.5" x14ac:dyDescent="0.25">
      <c r="A796" s="396" t="s">
        <v>131</v>
      </c>
      <c r="B796" s="390">
        <v>907</v>
      </c>
      <c r="C796" s="392" t="s">
        <v>491</v>
      </c>
      <c r="D796" s="392" t="s">
        <v>118</v>
      </c>
      <c r="E796" s="392" t="s">
        <v>934</v>
      </c>
      <c r="F796" s="392" t="s">
        <v>273</v>
      </c>
      <c r="G796" s="397">
        <f t="shared" si="74"/>
        <v>0</v>
      </c>
      <c r="H796" s="397">
        <f t="shared" si="74"/>
        <v>8</v>
      </c>
      <c r="I796" s="238"/>
    </row>
    <row r="797" spans="1:9" ht="47.25" x14ac:dyDescent="0.25">
      <c r="A797" s="396" t="s">
        <v>133</v>
      </c>
      <c r="B797" s="390">
        <v>907</v>
      </c>
      <c r="C797" s="392" t="s">
        <v>491</v>
      </c>
      <c r="D797" s="392" t="s">
        <v>118</v>
      </c>
      <c r="E797" s="392" t="s">
        <v>934</v>
      </c>
      <c r="F797" s="392" t="s">
        <v>275</v>
      </c>
      <c r="G797" s="397">
        <v>0</v>
      </c>
      <c r="H797" s="397">
        <v>8</v>
      </c>
      <c r="I797" s="238"/>
    </row>
    <row r="798" spans="1:9" ht="47.25" x14ac:dyDescent="0.25">
      <c r="A798" s="400" t="s">
        <v>1351</v>
      </c>
      <c r="B798" s="391">
        <v>907</v>
      </c>
      <c r="C798" s="395" t="s">
        <v>491</v>
      </c>
      <c r="D798" s="395" t="s">
        <v>118</v>
      </c>
      <c r="E798" s="395" t="s">
        <v>705</v>
      </c>
      <c r="F798" s="403"/>
      <c r="G798" s="393">
        <f t="shared" ref="G798:H801" si="75">G799</f>
        <v>579.1</v>
      </c>
      <c r="H798" s="393">
        <f t="shared" si="75"/>
        <v>602.29999999999995</v>
      </c>
      <c r="I798" s="192"/>
    </row>
    <row r="799" spans="1:9" ht="47.25" x14ac:dyDescent="0.25">
      <c r="A799" s="400" t="s">
        <v>889</v>
      </c>
      <c r="B799" s="391">
        <v>907</v>
      </c>
      <c r="C799" s="395" t="s">
        <v>491</v>
      </c>
      <c r="D799" s="395" t="s">
        <v>118</v>
      </c>
      <c r="E799" s="395" t="s">
        <v>887</v>
      </c>
      <c r="F799" s="403"/>
      <c r="G799" s="393">
        <f t="shared" si="75"/>
        <v>579.1</v>
      </c>
      <c r="H799" s="393">
        <f t="shared" si="75"/>
        <v>602.29999999999995</v>
      </c>
      <c r="I799" s="192"/>
    </row>
    <row r="800" spans="1:9" ht="47.25" x14ac:dyDescent="0.25">
      <c r="A800" s="98" t="s">
        <v>780</v>
      </c>
      <c r="B800" s="390">
        <v>907</v>
      </c>
      <c r="C800" s="392" t="s">
        <v>491</v>
      </c>
      <c r="D800" s="392" t="s">
        <v>118</v>
      </c>
      <c r="E800" s="392" t="s">
        <v>935</v>
      </c>
      <c r="F800" s="398"/>
      <c r="G800" s="397">
        <f t="shared" si="75"/>
        <v>579.1</v>
      </c>
      <c r="H800" s="397">
        <f t="shared" si="75"/>
        <v>602.29999999999995</v>
      </c>
      <c r="I800" s="192"/>
    </row>
    <row r="801" spans="1:9" ht="31.5" x14ac:dyDescent="0.25">
      <c r="A801" s="29" t="s">
        <v>272</v>
      </c>
      <c r="B801" s="390">
        <v>907</v>
      </c>
      <c r="C801" s="392" t="s">
        <v>491</v>
      </c>
      <c r="D801" s="392" t="s">
        <v>118</v>
      </c>
      <c r="E801" s="392" t="s">
        <v>935</v>
      </c>
      <c r="F801" s="398" t="s">
        <v>273</v>
      </c>
      <c r="G801" s="397">
        <f t="shared" si="75"/>
        <v>579.1</v>
      </c>
      <c r="H801" s="397">
        <f t="shared" si="75"/>
        <v>602.29999999999995</v>
      </c>
      <c r="I801" s="192"/>
    </row>
    <row r="802" spans="1:9" ht="15.75" x14ac:dyDescent="0.25">
      <c r="A802" s="180" t="s">
        <v>274</v>
      </c>
      <c r="B802" s="390">
        <v>907</v>
      </c>
      <c r="C802" s="392" t="s">
        <v>491</v>
      </c>
      <c r="D802" s="392" t="s">
        <v>118</v>
      </c>
      <c r="E802" s="392" t="s">
        <v>935</v>
      </c>
      <c r="F802" s="398" t="s">
        <v>275</v>
      </c>
      <c r="G802" s="397">
        <v>579.1</v>
      </c>
      <c r="H802" s="397">
        <v>602.29999999999995</v>
      </c>
      <c r="I802" s="192"/>
    </row>
    <row r="803" spans="1:9" ht="31.5" x14ac:dyDescent="0.25">
      <c r="A803" s="394" t="s">
        <v>500</v>
      </c>
      <c r="B803" s="391">
        <v>907</v>
      </c>
      <c r="C803" s="395" t="s">
        <v>491</v>
      </c>
      <c r="D803" s="395" t="s">
        <v>234</v>
      </c>
      <c r="E803" s="395"/>
      <c r="F803" s="395"/>
      <c r="G803" s="393">
        <f>G804+G812+G824</f>
        <v>13529.2</v>
      </c>
      <c r="H803" s="393">
        <f>H804+H812+H824</f>
        <v>13529.2</v>
      </c>
      <c r="I803" s="192"/>
    </row>
    <row r="804" spans="1:9" ht="31.5" x14ac:dyDescent="0.25">
      <c r="A804" s="394" t="s">
        <v>916</v>
      </c>
      <c r="B804" s="391">
        <v>907</v>
      </c>
      <c r="C804" s="395" t="s">
        <v>491</v>
      </c>
      <c r="D804" s="395" t="s">
        <v>234</v>
      </c>
      <c r="E804" s="395" t="s">
        <v>857</v>
      </c>
      <c r="F804" s="395"/>
      <c r="G804" s="393">
        <f>G805</f>
        <v>5224.5</v>
      </c>
      <c r="H804" s="393">
        <f>H805</f>
        <v>5224.5</v>
      </c>
      <c r="I804" s="192"/>
    </row>
    <row r="805" spans="1:9" ht="15.75" x14ac:dyDescent="0.25">
      <c r="A805" s="394" t="s">
        <v>917</v>
      </c>
      <c r="B805" s="391">
        <v>907</v>
      </c>
      <c r="C805" s="395" t="s">
        <v>491</v>
      </c>
      <c r="D805" s="395" t="s">
        <v>234</v>
      </c>
      <c r="E805" s="395" t="s">
        <v>858</v>
      </c>
      <c r="F805" s="395"/>
      <c r="G805" s="393">
        <f>G806+G809</f>
        <v>5224.5</v>
      </c>
      <c r="H805" s="393">
        <f>H806+H809</f>
        <v>5224.5</v>
      </c>
      <c r="I805" s="192"/>
    </row>
    <row r="806" spans="1:9" ht="31.5" x14ac:dyDescent="0.25">
      <c r="A806" s="396" t="s">
        <v>896</v>
      </c>
      <c r="B806" s="390">
        <v>907</v>
      </c>
      <c r="C806" s="392" t="s">
        <v>491</v>
      </c>
      <c r="D806" s="392" t="s">
        <v>234</v>
      </c>
      <c r="E806" s="392" t="s">
        <v>859</v>
      </c>
      <c r="F806" s="392"/>
      <c r="G806" s="397">
        <f>G807</f>
        <v>4888.5</v>
      </c>
      <c r="H806" s="397">
        <f>H807</f>
        <v>4888.5</v>
      </c>
      <c r="I806" s="192"/>
    </row>
    <row r="807" spans="1:9" ht="78.75" x14ac:dyDescent="0.25">
      <c r="A807" s="396" t="s">
        <v>127</v>
      </c>
      <c r="B807" s="390">
        <v>907</v>
      </c>
      <c r="C807" s="392" t="s">
        <v>491</v>
      </c>
      <c r="D807" s="392" t="s">
        <v>234</v>
      </c>
      <c r="E807" s="392" t="s">
        <v>859</v>
      </c>
      <c r="F807" s="392" t="s">
        <v>128</v>
      </c>
      <c r="G807" s="397">
        <f>G808</f>
        <v>4888.5</v>
      </c>
      <c r="H807" s="397">
        <f>H808</f>
        <v>4888.5</v>
      </c>
      <c r="I807" s="192"/>
    </row>
    <row r="808" spans="1:9" ht="31.5" x14ac:dyDescent="0.25">
      <c r="A808" s="396" t="s">
        <v>129</v>
      </c>
      <c r="B808" s="390">
        <v>907</v>
      </c>
      <c r="C808" s="392" t="s">
        <v>491</v>
      </c>
      <c r="D808" s="392" t="s">
        <v>234</v>
      </c>
      <c r="E808" s="392" t="s">
        <v>859</v>
      </c>
      <c r="F808" s="392" t="s">
        <v>130</v>
      </c>
      <c r="G808" s="397">
        <v>4888.5</v>
      </c>
      <c r="H808" s="397">
        <f t="shared" si="71"/>
        <v>4888.5</v>
      </c>
      <c r="I808" s="192"/>
    </row>
    <row r="809" spans="1:9" ht="47.25" x14ac:dyDescent="0.25">
      <c r="A809" s="396" t="s">
        <v>838</v>
      </c>
      <c r="B809" s="390">
        <v>907</v>
      </c>
      <c r="C809" s="392" t="s">
        <v>491</v>
      </c>
      <c r="D809" s="392" t="s">
        <v>234</v>
      </c>
      <c r="E809" s="392" t="s">
        <v>861</v>
      </c>
      <c r="F809" s="392"/>
      <c r="G809" s="397">
        <f>G810</f>
        <v>336</v>
      </c>
      <c r="H809" s="397">
        <f>H810</f>
        <v>336</v>
      </c>
      <c r="I809" s="192"/>
    </row>
    <row r="810" spans="1:9" ht="78.75" x14ac:dyDescent="0.25">
      <c r="A810" s="396" t="s">
        <v>127</v>
      </c>
      <c r="B810" s="390">
        <v>907</v>
      </c>
      <c r="C810" s="392" t="s">
        <v>491</v>
      </c>
      <c r="D810" s="392" t="s">
        <v>234</v>
      </c>
      <c r="E810" s="392" t="s">
        <v>861</v>
      </c>
      <c r="F810" s="392" t="s">
        <v>128</v>
      </c>
      <c r="G810" s="397">
        <f>G811</f>
        <v>336</v>
      </c>
      <c r="H810" s="397">
        <f>H811</f>
        <v>336</v>
      </c>
      <c r="I810" s="192"/>
    </row>
    <row r="811" spans="1:9" ht="31.5" x14ac:dyDescent="0.25">
      <c r="A811" s="396" t="s">
        <v>129</v>
      </c>
      <c r="B811" s="390">
        <v>907</v>
      </c>
      <c r="C811" s="392" t="s">
        <v>491</v>
      </c>
      <c r="D811" s="392" t="s">
        <v>234</v>
      </c>
      <c r="E811" s="392" t="s">
        <v>861</v>
      </c>
      <c r="F811" s="392" t="s">
        <v>130</v>
      </c>
      <c r="G811" s="397">
        <v>336</v>
      </c>
      <c r="H811" s="397">
        <f t="shared" si="71"/>
        <v>336</v>
      </c>
      <c r="I811" s="192"/>
    </row>
    <row r="812" spans="1:9" ht="15.75" x14ac:dyDescent="0.25">
      <c r="A812" s="394" t="s">
        <v>141</v>
      </c>
      <c r="B812" s="391">
        <v>907</v>
      </c>
      <c r="C812" s="395" t="s">
        <v>491</v>
      </c>
      <c r="D812" s="395" t="s">
        <v>234</v>
      </c>
      <c r="E812" s="395" t="s">
        <v>865</v>
      </c>
      <c r="F812" s="395"/>
      <c r="G812" s="393">
        <f>G813</f>
        <v>5304.7</v>
      </c>
      <c r="H812" s="393">
        <f>H813</f>
        <v>5304.7</v>
      </c>
      <c r="I812" s="192"/>
    </row>
    <row r="813" spans="1:9" ht="31.5" x14ac:dyDescent="0.25">
      <c r="A813" s="394" t="s">
        <v>928</v>
      </c>
      <c r="B813" s="391">
        <v>907</v>
      </c>
      <c r="C813" s="395" t="s">
        <v>491</v>
      </c>
      <c r="D813" s="395" t="s">
        <v>234</v>
      </c>
      <c r="E813" s="395" t="s">
        <v>913</v>
      </c>
      <c r="F813" s="395"/>
      <c r="G813" s="393">
        <f>G814+G821</f>
        <v>5304.7</v>
      </c>
      <c r="H813" s="393">
        <f>H814+H821</f>
        <v>5304.7</v>
      </c>
      <c r="I813" s="192"/>
    </row>
    <row r="814" spans="1:9" ht="31.5" x14ac:dyDescent="0.25">
      <c r="A814" s="396" t="s">
        <v>902</v>
      </c>
      <c r="B814" s="390">
        <v>907</v>
      </c>
      <c r="C814" s="392" t="s">
        <v>491</v>
      </c>
      <c r="D814" s="392" t="s">
        <v>234</v>
      </c>
      <c r="E814" s="392" t="s">
        <v>914</v>
      </c>
      <c r="F814" s="392"/>
      <c r="G814" s="397">
        <f>G815+G817+G819</f>
        <v>5089.7</v>
      </c>
      <c r="H814" s="397">
        <f>H815+H817+H819</f>
        <v>5089.7</v>
      </c>
      <c r="I814" s="192"/>
    </row>
    <row r="815" spans="1:9" ht="78.75" x14ac:dyDescent="0.25">
      <c r="A815" s="396" t="s">
        <v>127</v>
      </c>
      <c r="B815" s="390">
        <v>907</v>
      </c>
      <c r="C815" s="392" t="s">
        <v>491</v>
      </c>
      <c r="D815" s="392" t="s">
        <v>234</v>
      </c>
      <c r="E815" s="392" t="s">
        <v>914</v>
      </c>
      <c r="F815" s="392" t="s">
        <v>128</v>
      </c>
      <c r="G815" s="397">
        <f>G816</f>
        <v>4695.3999999999996</v>
      </c>
      <c r="H815" s="397">
        <f>H816</f>
        <v>4695.3999999999996</v>
      </c>
      <c r="I815" s="192"/>
    </row>
    <row r="816" spans="1:9" ht="19.5" customHeight="1" x14ac:dyDescent="0.25">
      <c r="A816" s="396" t="s">
        <v>342</v>
      </c>
      <c r="B816" s="390">
        <v>907</v>
      </c>
      <c r="C816" s="392" t="s">
        <v>491</v>
      </c>
      <c r="D816" s="392" t="s">
        <v>234</v>
      </c>
      <c r="E816" s="392" t="s">
        <v>914</v>
      </c>
      <c r="F816" s="392" t="s">
        <v>209</v>
      </c>
      <c r="G816" s="397">
        <v>4695.3999999999996</v>
      </c>
      <c r="H816" s="397">
        <f t="shared" si="71"/>
        <v>4695.3999999999996</v>
      </c>
      <c r="I816" s="192"/>
    </row>
    <row r="817" spans="1:13" ht="31.5" x14ac:dyDescent="0.25">
      <c r="A817" s="396" t="s">
        <v>131</v>
      </c>
      <c r="B817" s="390">
        <v>907</v>
      </c>
      <c r="C817" s="392" t="s">
        <v>491</v>
      </c>
      <c r="D817" s="392" t="s">
        <v>234</v>
      </c>
      <c r="E817" s="392" t="s">
        <v>914</v>
      </c>
      <c r="F817" s="392" t="s">
        <v>132</v>
      </c>
      <c r="G817" s="397">
        <f>G818</f>
        <v>343.3</v>
      </c>
      <c r="H817" s="397">
        <f>H818</f>
        <v>343.3</v>
      </c>
      <c r="I817" s="192"/>
    </row>
    <row r="818" spans="1:13" ht="47.25" x14ac:dyDescent="0.25">
      <c r="A818" s="396" t="s">
        <v>133</v>
      </c>
      <c r="B818" s="390">
        <v>907</v>
      </c>
      <c r="C818" s="392" t="s">
        <v>491</v>
      </c>
      <c r="D818" s="392" t="s">
        <v>234</v>
      </c>
      <c r="E818" s="392" t="s">
        <v>914</v>
      </c>
      <c r="F818" s="392" t="s">
        <v>134</v>
      </c>
      <c r="G818" s="397">
        <v>343.3</v>
      </c>
      <c r="H818" s="397">
        <f t="shared" si="71"/>
        <v>343.3</v>
      </c>
      <c r="I818" s="192"/>
    </row>
    <row r="819" spans="1:13" ht="15.75" x14ac:dyDescent="0.25">
      <c r="A819" s="396" t="s">
        <v>135</v>
      </c>
      <c r="B819" s="390">
        <v>907</v>
      </c>
      <c r="C819" s="392" t="s">
        <v>491</v>
      </c>
      <c r="D819" s="392" t="s">
        <v>234</v>
      </c>
      <c r="E819" s="392" t="s">
        <v>914</v>
      </c>
      <c r="F819" s="392" t="s">
        <v>145</v>
      </c>
      <c r="G819" s="397">
        <f>G820</f>
        <v>51</v>
      </c>
      <c r="H819" s="397">
        <f>H820</f>
        <v>51</v>
      </c>
      <c r="I819" s="192"/>
    </row>
    <row r="820" spans="1:13" ht="15.75" x14ac:dyDescent="0.25">
      <c r="A820" s="396" t="s">
        <v>568</v>
      </c>
      <c r="B820" s="390">
        <v>907</v>
      </c>
      <c r="C820" s="392" t="s">
        <v>491</v>
      </c>
      <c r="D820" s="392" t="s">
        <v>234</v>
      </c>
      <c r="E820" s="392" t="s">
        <v>914</v>
      </c>
      <c r="F820" s="392" t="s">
        <v>138</v>
      </c>
      <c r="G820" s="397">
        <f>51</f>
        <v>51</v>
      </c>
      <c r="H820" s="397">
        <f t="shared" si="71"/>
        <v>51</v>
      </c>
      <c r="I820" s="192"/>
    </row>
    <row r="821" spans="1:13" ht="47.25" x14ac:dyDescent="0.25">
      <c r="A821" s="396" t="s">
        <v>838</v>
      </c>
      <c r="B821" s="390">
        <v>907</v>
      </c>
      <c r="C821" s="392" t="s">
        <v>491</v>
      </c>
      <c r="D821" s="392" t="s">
        <v>234</v>
      </c>
      <c r="E821" s="392" t="s">
        <v>915</v>
      </c>
      <c r="F821" s="392"/>
      <c r="G821" s="397">
        <f>G822</f>
        <v>215</v>
      </c>
      <c r="H821" s="397">
        <f>H822</f>
        <v>215</v>
      </c>
      <c r="I821" s="192"/>
    </row>
    <row r="822" spans="1:13" ht="78.75" x14ac:dyDescent="0.25">
      <c r="A822" s="396" t="s">
        <v>127</v>
      </c>
      <c r="B822" s="390">
        <v>907</v>
      </c>
      <c r="C822" s="392" t="s">
        <v>491</v>
      </c>
      <c r="D822" s="392" t="s">
        <v>234</v>
      </c>
      <c r="E822" s="392" t="s">
        <v>915</v>
      </c>
      <c r="F822" s="392" t="s">
        <v>128</v>
      </c>
      <c r="G822" s="397">
        <f>G823</f>
        <v>215</v>
      </c>
      <c r="H822" s="397">
        <f>H823</f>
        <v>215</v>
      </c>
      <c r="I822" s="192"/>
    </row>
    <row r="823" spans="1:13" ht="19.5" customHeight="1" x14ac:dyDescent="0.25">
      <c r="A823" s="396" t="s">
        <v>342</v>
      </c>
      <c r="B823" s="390">
        <v>907</v>
      </c>
      <c r="C823" s="392" t="s">
        <v>491</v>
      </c>
      <c r="D823" s="392" t="s">
        <v>234</v>
      </c>
      <c r="E823" s="392" t="s">
        <v>915</v>
      </c>
      <c r="F823" s="392" t="s">
        <v>209</v>
      </c>
      <c r="G823" s="397">
        <v>215</v>
      </c>
      <c r="H823" s="397">
        <f t="shared" si="71"/>
        <v>215</v>
      </c>
      <c r="I823" s="192"/>
    </row>
    <row r="824" spans="1:13" ht="47.25" x14ac:dyDescent="0.25">
      <c r="A824" s="400" t="s">
        <v>1368</v>
      </c>
      <c r="B824" s="391">
        <v>907</v>
      </c>
      <c r="C824" s="395" t="s">
        <v>491</v>
      </c>
      <c r="D824" s="395" t="s">
        <v>234</v>
      </c>
      <c r="E824" s="7" t="s">
        <v>482</v>
      </c>
      <c r="F824" s="395"/>
      <c r="G824" s="393">
        <f>G825</f>
        <v>3000</v>
      </c>
      <c r="H824" s="393">
        <f>H825</f>
        <v>3000</v>
      </c>
      <c r="I824" s="192"/>
    </row>
    <row r="825" spans="1:13" ht="31.5" x14ac:dyDescent="0.25">
      <c r="A825" s="58" t="s">
        <v>950</v>
      </c>
      <c r="B825" s="391">
        <v>907</v>
      </c>
      <c r="C825" s="395" t="s">
        <v>491</v>
      </c>
      <c r="D825" s="395" t="s">
        <v>234</v>
      </c>
      <c r="E825" s="7" t="s">
        <v>1269</v>
      </c>
      <c r="F825" s="395"/>
      <c r="G825" s="393">
        <f t="shared" ref="G825:H825" si="76">G826</f>
        <v>3000</v>
      </c>
      <c r="H825" s="393">
        <f t="shared" si="76"/>
        <v>3000</v>
      </c>
      <c r="I825" s="192"/>
    </row>
    <row r="826" spans="1:13" ht="31.5" x14ac:dyDescent="0.25">
      <c r="A826" s="29" t="s">
        <v>951</v>
      </c>
      <c r="B826" s="390">
        <v>907</v>
      </c>
      <c r="C826" s="392" t="s">
        <v>491</v>
      </c>
      <c r="D826" s="392" t="s">
        <v>234</v>
      </c>
      <c r="E826" s="399" t="s">
        <v>1270</v>
      </c>
      <c r="F826" s="392"/>
      <c r="G826" s="397">
        <f>G827+G829</f>
        <v>3000</v>
      </c>
      <c r="H826" s="397">
        <f>H827+H829</f>
        <v>3000</v>
      </c>
      <c r="I826" s="192"/>
    </row>
    <row r="827" spans="1:13" ht="78.75" x14ac:dyDescent="0.25">
      <c r="A827" s="396" t="s">
        <v>127</v>
      </c>
      <c r="B827" s="390">
        <v>907</v>
      </c>
      <c r="C827" s="392" t="s">
        <v>491</v>
      </c>
      <c r="D827" s="392" t="s">
        <v>234</v>
      </c>
      <c r="E827" s="399" t="s">
        <v>1270</v>
      </c>
      <c r="F827" s="392" t="s">
        <v>128</v>
      </c>
      <c r="G827" s="397">
        <f>G828</f>
        <v>2500</v>
      </c>
      <c r="H827" s="397">
        <f>H828</f>
        <v>2500</v>
      </c>
      <c r="I827" s="192"/>
    </row>
    <row r="828" spans="1:13" ht="31.5" x14ac:dyDescent="0.25">
      <c r="A828" s="396" t="s">
        <v>342</v>
      </c>
      <c r="B828" s="390">
        <v>907</v>
      </c>
      <c r="C828" s="392" t="s">
        <v>491</v>
      </c>
      <c r="D828" s="392" t="s">
        <v>234</v>
      </c>
      <c r="E828" s="399" t="s">
        <v>1270</v>
      </c>
      <c r="F828" s="392" t="s">
        <v>209</v>
      </c>
      <c r="G828" s="397">
        <v>2500</v>
      </c>
      <c r="H828" s="397">
        <v>2500</v>
      </c>
      <c r="I828" s="192"/>
    </row>
    <row r="829" spans="1:13" ht="31.5" x14ac:dyDescent="0.25">
      <c r="A829" s="29" t="s">
        <v>131</v>
      </c>
      <c r="B829" s="390">
        <v>907</v>
      </c>
      <c r="C829" s="392" t="s">
        <v>491</v>
      </c>
      <c r="D829" s="392" t="s">
        <v>234</v>
      </c>
      <c r="E829" s="399" t="s">
        <v>1270</v>
      </c>
      <c r="F829" s="392" t="s">
        <v>132</v>
      </c>
      <c r="G829" s="397">
        <f>G830</f>
        <v>500</v>
      </c>
      <c r="H829" s="397">
        <f>H830</f>
        <v>500</v>
      </c>
      <c r="I829" s="192"/>
    </row>
    <row r="830" spans="1:13" ht="47.25" x14ac:dyDescent="0.25">
      <c r="A830" s="29" t="s">
        <v>133</v>
      </c>
      <c r="B830" s="390">
        <v>907</v>
      </c>
      <c r="C830" s="392" t="s">
        <v>491</v>
      </c>
      <c r="D830" s="392" t="s">
        <v>234</v>
      </c>
      <c r="E830" s="399" t="s">
        <v>1270</v>
      </c>
      <c r="F830" s="392" t="s">
        <v>134</v>
      </c>
      <c r="G830" s="397">
        <f>500</f>
        <v>500</v>
      </c>
      <c r="H830" s="397">
        <f t="shared" si="71"/>
        <v>500</v>
      </c>
      <c r="I830" s="192"/>
    </row>
    <row r="831" spans="1:13" ht="31.5" x14ac:dyDescent="0.25">
      <c r="A831" s="391" t="s">
        <v>504</v>
      </c>
      <c r="B831" s="391">
        <v>908</v>
      </c>
      <c r="C831" s="392"/>
      <c r="D831" s="392"/>
      <c r="E831" s="392"/>
      <c r="F831" s="392"/>
      <c r="G831" s="393">
        <f>G846+G853+G874+G1038+G832</f>
        <v>88568.8</v>
      </c>
      <c r="H831" s="393">
        <f>H846+H853+H874+H1038+H832</f>
        <v>96681.150000000009</v>
      </c>
      <c r="I831" s="192"/>
      <c r="M831" s="22"/>
    </row>
    <row r="832" spans="1:13" ht="15.75" x14ac:dyDescent="0.25">
      <c r="A832" s="34" t="s">
        <v>117</v>
      </c>
      <c r="B832" s="391">
        <v>908</v>
      </c>
      <c r="C832" s="395" t="s">
        <v>118</v>
      </c>
      <c r="D832" s="392"/>
      <c r="E832" s="392"/>
      <c r="F832" s="392"/>
      <c r="G832" s="393">
        <f>G833</f>
        <v>41282.100000000006</v>
      </c>
      <c r="H832" s="393">
        <f t="shared" ref="G832:H834" si="77">H833</f>
        <v>41282.100000000006</v>
      </c>
      <c r="I832" s="192"/>
    </row>
    <row r="833" spans="1:9" ht="15.75" x14ac:dyDescent="0.25">
      <c r="A833" s="34" t="s">
        <v>139</v>
      </c>
      <c r="B833" s="391">
        <v>908</v>
      </c>
      <c r="C833" s="395" t="s">
        <v>118</v>
      </c>
      <c r="D833" s="395" t="s">
        <v>140</v>
      </c>
      <c r="E833" s="392"/>
      <c r="F833" s="392"/>
      <c r="G833" s="393">
        <f t="shared" si="77"/>
        <v>41282.100000000006</v>
      </c>
      <c r="H833" s="393">
        <f t="shared" si="77"/>
        <v>41282.100000000006</v>
      </c>
      <c r="I833" s="192"/>
    </row>
    <row r="834" spans="1:9" ht="15.75" x14ac:dyDescent="0.25">
      <c r="A834" s="394" t="s">
        <v>141</v>
      </c>
      <c r="B834" s="391">
        <v>908</v>
      </c>
      <c r="C834" s="395" t="s">
        <v>118</v>
      </c>
      <c r="D834" s="395" t="s">
        <v>140</v>
      </c>
      <c r="E834" s="395" t="s">
        <v>865</v>
      </c>
      <c r="F834" s="395"/>
      <c r="G834" s="44">
        <f t="shared" si="77"/>
        <v>41282.100000000006</v>
      </c>
      <c r="H834" s="44">
        <f t="shared" si="77"/>
        <v>41282.100000000006</v>
      </c>
      <c r="I834" s="192"/>
    </row>
    <row r="835" spans="1:9" ht="15.75" x14ac:dyDescent="0.25">
      <c r="A835" s="394" t="s">
        <v>953</v>
      </c>
      <c r="B835" s="391">
        <v>908</v>
      </c>
      <c r="C835" s="395" t="s">
        <v>118</v>
      </c>
      <c r="D835" s="395" t="s">
        <v>140</v>
      </c>
      <c r="E835" s="395" t="s">
        <v>952</v>
      </c>
      <c r="F835" s="395"/>
      <c r="G835" s="44">
        <f>G839+G836</f>
        <v>41282.100000000006</v>
      </c>
      <c r="H835" s="44">
        <f>H839+H836</f>
        <v>41282.100000000006</v>
      </c>
      <c r="I835" s="192"/>
    </row>
    <row r="836" spans="1:9" ht="47.25" x14ac:dyDescent="0.25">
      <c r="A836" s="396" t="s">
        <v>838</v>
      </c>
      <c r="B836" s="390">
        <v>908</v>
      </c>
      <c r="C836" s="392" t="s">
        <v>118</v>
      </c>
      <c r="D836" s="392" t="s">
        <v>140</v>
      </c>
      <c r="E836" s="392" t="s">
        <v>955</v>
      </c>
      <c r="F836" s="392"/>
      <c r="G836" s="397">
        <f>G837</f>
        <v>1072</v>
      </c>
      <c r="H836" s="397">
        <f>H837</f>
        <v>1072</v>
      </c>
      <c r="I836" s="192"/>
    </row>
    <row r="837" spans="1:9" ht="78.75" x14ac:dyDescent="0.25">
      <c r="A837" s="396" t="s">
        <v>127</v>
      </c>
      <c r="B837" s="390">
        <v>908</v>
      </c>
      <c r="C837" s="392" t="s">
        <v>118</v>
      </c>
      <c r="D837" s="392" t="s">
        <v>140</v>
      </c>
      <c r="E837" s="392" t="s">
        <v>955</v>
      </c>
      <c r="F837" s="392" t="s">
        <v>128</v>
      </c>
      <c r="G837" s="397">
        <f>G838</f>
        <v>1072</v>
      </c>
      <c r="H837" s="397">
        <f>H838</f>
        <v>1072</v>
      </c>
      <c r="I837" s="192"/>
    </row>
    <row r="838" spans="1:9" ht="31.5" x14ac:dyDescent="0.25">
      <c r="A838" s="396" t="s">
        <v>129</v>
      </c>
      <c r="B838" s="390">
        <v>908</v>
      </c>
      <c r="C838" s="392" t="s">
        <v>118</v>
      </c>
      <c r="D838" s="392" t="s">
        <v>140</v>
      </c>
      <c r="E838" s="392" t="s">
        <v>955</v>
      </c>
      <c r="F838" s="392" t="s">
        <v>209</v>
      </c>
      <c r="G838" s="397">
        <v>1072</v>
      </c>
      <c r="H838" s="397">
        <f t="shared" ref="H838:H901" si="78">G838</f>
        <v>1072</v>
      </c>
      <c r="I838" s="192"/>
    </row>
    <row r="839" spans="1:9" ht="15.75" x14ac:dyDescent="0.25">
      <c r="A839" s="396" t="s">
        <v>801</v>
      </c>
      <c r="B839" s="390">
        <v>908</v>
      </c>
      <c r="C839" s="392" t="s">
        <v>118</v>
      </c>
      <c r="D839" s="392" t="s">
        <v>140</v>
      </c>
      <c r="E839" s="392" t="s">
        <v>954</v>
      </c>
      <c r="F839" s="392"/>
      <c r="G839" s="397">
        <f>G840+G844+G842</f>
        <v>40210.100000000006</v>
      </c>
      <c r="H839" s="397">
        <f>H840+H844+H842</f>
        <v>40210.100000000006</v>
      </c>
      <c r="I839" s="192"/>
    </row>
    <row r="840" spans="1:9" ht="78.75" x14ac:dyDescent="0.25">
      <c r="A840" s="396" t="s">
        <v>127</v>
      </c>
      <c r="B840" s="390">
        <v>908</v>
      </c>
      <c r="C840" s="392" t="s">
        <v>118</v>
      </c>
      <c r="D840" s="392" t="s">
        <v>140</v>
      </c>
      <c r="E840" s="392" t="s">
        <v>954</v>
      </c>
      <c r="F840" s="392" t="s">
        <v>128</v>
      </c>
      <c r="G840" s="397">
        <f>G841</f>
        <v>32825.800000000003</v>
      </c>
      <c r="H840" s="397">
        <f>H841</f>
        <v>32825.800000000003</v>
      </c>
      <c r="I840" s="192"/>
    </row>
    <row r="841" spans="1:9" ht="31.5" x14ac:dyDescent="0.25">
      <c r="A841" s="46" t="s">
        <v>342</v>
      </c>
      <c r="B841" s="390">
        <v>908</v>
      </c>
      <c r="C841" s="392" t="s">
        <v>118</v>
      </c>
      <c r="D841" s="392" t="s">
        <v>140</v>
      </c>
      <c r="E841" s="392" t="s">
        <v>954</v>
      </c>
      <c r="F841" s="392" t="s">
        <v>209</v>
      </c>
      <c r="G841" s="397">
        <v>32825.800000000003</v>
      </c>
      <c r="H841" s="397">
        <f t="shared" si="78"/>
        <v>32825.800000000003</v>
      </c>
      <c r="I841" s="192"/>
    </row>
    <row r="842" spans="1:9" ht="31.5" x14ac:dyDescent="0.25">
      <c r="A842" s="396" t="s">
        <v>131</v>
      </c>
      <c r="B842" s="390">
        <v>908</v>
      </c>
      <c r="C842" s="392" t="s">
        <v>118</v>
      </c>
      <c r="D842" s="392" t="s">
        <v>140</v>
      </c>
      <c r="E842" s="392" t="s">
        <v>954</v>
      </c>
      <c r="F842" s="392" t="s">
        <v>132</v>
      </c>
      <c r="G842" s="397">
        <f>G843</f>
        <v>6963.3</v>
      </c>
      <c r="H842" s="397">
        <f>H843</f>
        <v>6963.3</v>
      </c>
      <c r="I842" s="192"/>
    </row>
    <row r="843" spans="1:9" ht="47.25" x14ac:dyDescent="0.25">
      <c r="A843" s="396" t="s">
        <v>133</v>
      </c>
      <c r="B843" s="390">
        <v>908</v>
      </c>
      <c r="C843" s="392" t="s">
        <v>118</v>
      </c>
      <c r="D843" s="392" t="s">
        <v>140</v>
      </c>
      <c r="E843" s="392" t="s">
        <v>954</v>
      </c>
      <c r="F843" s="392" t="s">
        <v>134</v>
      </c>
      <c r="G843" s="397">
        <v>6963.3</v>
      </c>
      <c r="H843" s="397">
        <f t="shared" si="78"/>
        <v>6963.3</v>
      </c>
      <c r="I843" s="192"/>
    </row>
    <row r="844" spans="1:9" ht="15.75" x14ac:dyDescent="0.25">
      <c r="A844" s="396" t="s">
        <v>135</v>
      </c>
      <c r="B844" s="390">
        <v>908</v>
      </c>
      <c r="C844" s="392" t="s">
        <v>118</v>
      </c>
      <c r="D844" s="392" t="s">
        <v>140</v>
      </c>
      <c r="E844" s="392" t="s">
        <v>954</v>
      </c>
      <c r="F844" s="392" t="s">
        <v>145</v>
      </c>
      <c r="G844" s="397">
        <f>G845</f>
        <v>421</v>
      </c>
      <c r="H844" s="397">
        <f>H845</f>
        <v>421</v>
      </c>
      <c r="I844" s="192"/>
    </row>
    <row r="845" spans="1:9" ht="15.75" x14ac:dyDescent="0.25">
      <c r="A845" s="396" t="s">
        <v>704</v>
      </c>
      <c r="B845" s="390">
        <v>908</v>
      </c>
      <c r="C845" s="392" t="s">
        <v>118</v>
      </c>
      <c r="D845" s="392" t="s">
        <v>140</v>
      </c>
      <c r="E845" s="392" t="s">
        <v>954</v>
      </c>
      <c r="F845" s="392" t="s">
        <v>138</v>
      </c>
      <c r="G845" s="397">
        <f>421</f>
        <v>421</v>
      </c>
      <c r="H845" s="397">
        <f t="shared" si="78"/>
        <v>421</v>
      </c>
      <c r="I845" s="192"/>
    </row>
    <row r="846" spans="1:9" ht="31.5" x14ac:dyDescent="0.25">
      <c r="A846" s="394" t="s">
        <v>222</v>
      </c>
      <c r="B846" s="391">
        <v>908</v>
      </c>
      <c r="C846" s="395" t="s">
        <v>215</v>
      </c>
      <c r="D846" s="395"/>
      <c r="E846" s="395"/>
      <c r="F846" s="395"/>
      <c r="G846" s="393">
        <f t="shared" ref="G846:H849" si="79">G847</f>
        <v>107</v>
      </c>
      <c r="H846" s="393">
        <f t="shared" si="79"/>
        <v>107</v>
      </c>
      <c r="I846" s="192"/>
    </row>
    <row r="847" spans="1:9" ht="47.25" x14ac:dyDescent="0.25">
      <c r="A847" s="394" t="s">
        <v>1344</v>
      </c>
      <c r="B847" s="391">
        <v>908</v>
      </c>
      <c r="C847" s="395" t="s">
        <v>215</v>
      </c>
      <c r="D847" s="395" t="s">
        <v>244</v>
      </c>
      <c r="E847" s="395"/>
      <c r="F847" s="395"/>
      <c r="G847" s="393">
        <f t="shared" si="79"/>
        <v>107</v>
      </c>
      <c r="H847" s="393">
        <f t="shared" si="79"/>
        <v>107</v>
      </c>
      <c r="I847" s="192"/>
    </row>
    <row r="848" spans="1:9" ht="15.75" x14ac:dyDescent="0.25">
      <c r="A848" s="394" t="s">
        <v>141</v>
      </c>
      <c r="B848" s="391">
        <v>908</v>
      </c>
      <c r="C848" s="395" t="s">
        <v>215</v>
      </c>
      <c r="D848" s="395" t="s">
        <v>244</v>
      </c>
      <c r="E848" s="395" t="s">
        <v>865</v>
      </c>
      <c r="F848" s="395"/>
      <c r="G848" s="393">
        <f t="shared" si="79"/>
        <v>107</v>
      </c>
      <c r="H848" s="393">
        <f t="shared" si="79"/>
        <v>107</v>
      </c>
      <c r="I848" s="192"/>
    </row>
    <row r="849" spans="1:9" ht="31.5" x14ac:dyDescent="0.25">
      <c r="A849" s="394" t="s">
        <v>869</v>
      </c>
      <c r="B849" s="391">
        <v>908</v>
      </c>
      <c r="C849" s="395" t="s">
        <v>215</v>
      </c>
      <c r="D849" s="395" t="s">
        <v>244</v>
      </c>
      <c r="E849" s="395" t="s">
        <v>864</v>
      </c>
      <c r="F849" s="395"/>
      <c r="G849" s="393">
        <f t="shared" si="79"/>
        <v>107</v>
      </c>
      <c r="H849" s="393">
        <f t="shared" si="79"/>
        <v>107</v>
      </c>
      <c r="I849" s="192"/>
    </row>
    <row r="850" spans="1:9" ht="15.75" x14ac:dyDescent="0.25">
      <c r="A850" s="396" t="s">
        <v>230</v>
      </c>
      <c r="B850" s="390">
        <v>908</v>
      </c>
      <c r="C850" s="392" t="s">
        <v>215</v>
      </c>
      <c r="D850" s="392" t="s">
        <v>244</v>
      </c>
      <c r="E850" s="392" t="s">
        <v>875</v>
      </c>
      <c r="F850" s="392"/>
      <c r="G850" s="397">
        <f>G851</f>
        <v>107</v>
      </c>
      <c r="H850" s="397">
        <f>H851</f>
        <v>107</v>
      </c>
      <c r="I850" s="192"/>
    </row>
    <row r="851" spans="1:9" ht="31.5" x14ac:dyDescent="0.25">
      <c r="A851" s="396" t="s">
        <v>131</v>
      </c>
      <c r="B851" s="390">
        <v>908</v>
      </c>
      <c r="C851" s="392" t="s">
        <v>215</v>
      </c>
      <c r="D851" s="392" t="s">
        <v>244</v>
      </c>
      <c r="E851" s="392" t="s">
        <v>875</v>
      </c>
      <c r="F851" s="392" t="s">
        <v>132</v>
      </c>
      <c r="G851" s="397">
        <f>G852</f>
        <v>107</v>
      </c>
      <c r="H851" s="397">
        <f>H852</f>
        <v>107</v>
      </c>
      <c r="I851" s="192"/>
    </row>
    <row r="852" spans="1:9" ht="47.25" x14ac:dyDescent="0.25">
      <c r="A852" s="396" t="s">
        <v>133</v>
      </c>
      <c r="B852" s="390">
        <v>908</v>
      </c>
      <c r="C852" s="392" t="s">
        <v>215</v>
      </c>
      <c r="D852" s="392" t="s">
        <v>244</v>
      </c>
      <c r="E852" s="392" t="s">
        <v>875</v>
      </c>
      <c r="F852" s="392" t="s">
        <v>134</v>
      </c>
      <c r="G852" s="397">
        <f>107</f>
        <v>107</v>
      </c>
      <c r="H852" s="397">
        <f t="shared" si="78"/>
        <v>107</v>
      </c>
      <c r="I852" s="192"/>
    </row>
    <row r="853" spans="1:9" ht="15.75" x14ac:dyDescent="0.25">
      <c r="A853" s="394" t="s">
        <v>232</v>
      </c>
      <c r="B853" s="391">
        <v>908</v>
      </c>
      <c r="C853" s="395" t="s">
        <v>150</v>
      </c>
      <c r="D853" s="395"/>
      <c r="E853" s="395"/>
      <c r="F853" s="395"/>
      <c r="G853" s="393">
        <f>G854+G860</f>
        <v>5577</v>
      </c>
      <c r="H853" s="393">
        <f>H854+H860</f>
        <v>5577</v>
      </c>
      <c r="I853" s="192"/>
    </row>
    <row r="854" spans="1:9" ht="15.75" x14ac:dyDescent="0.25">
      <c r="A854" s="394" t="s">
        <v>505</v>
      </c>
      <c r="B854" s="391">
        <v>908</v>
      </c>
      <c r="C854" s="395" t="s">
        <v>150</v>
      </c>
      <c r="D854" s="395" t="s">
        <v>299</v>
      </c>
      <c r="E854" s="395"/>
      <c r="F854" s="395"/>
      <c r="G854" s="393">
        <f t="shared" ref="G854:H856" si="80">G855</f>
        <v>3258</v>
      </c>
      <c r="H854" s="393">
        <f t="shared" si="80"/>
        <v>3258</v>
      </c>
      <c r="I854" s="192"/>
    </row>
    <row r="855" spans="1:9" ht="15.75" x14ac:dyDescent="0.25">
      <c r="A855" s="394" t="s">
        <v>141</v>
      </c>
      <c r="B855" s="391">
        <v>908</v>
      </c>
      <c r="C855" s="395" t="s">
        <v>150</v>
      </c>
      <c r="D855" s="395" t="s">
        <v>299</v>
      </c>
      <c r="E855" s="395" t="s">
        <v>865</v>
      </c>
      <c r="F855" s="395"/>
      <c r="G855" s="393">
        <f t="shared" si="80"/>
        <v>3258</v>
      </c>
      <c r="H855" s="393">
        <f t="shared" si="80"/>
        <v>3258</v>
      </c>
      <c r="I855" s="192"/>
    </row>
    <row r="856" spans="1:9" ht="31.5" x14ac:dyDescent="0.25">
      <c r="A856" s="394" t="s">
        <v>869</v>
      </c>
      <c r="B856" s="391">
        <v>908</v>
      </c>
      <c r="C856" s="395" t="s">
        <v>150</v>
      </c>
      <c r="D856" s="395" t="s">
        <v>299</v>
      </c>
      <c r="E856" s="395" t="s">
        <v>864</v>
      </c>
      <c r="F856" s="395"/>
      <c r="G856" s="393">
        <f t="shared" si="80"/>
        <v>3258</v>
      </c>
      <c r="H856" s="393">
        <f t="shared" si="80"/>
        <v>3258</v>
      </c>
      <c r="I856" s="192"/>
    </row>
    <row r="857" spans="1:9" ht="15.75" x14ac:dyDescent="0.25">
      <c r="A857" s="396" t="s">
        <v>506</v>
      </c>
      <c r="B857" s="390">
        <v>908</v>
      </c>
      <c r="C857" s="392" t="s">
        <v>150</v>
      </c>
      <c r="D857" s="392" t="s">
        <v>299</v>
      </c>
      <c r="E857" s="392" t="s">
        <v>956</v>
      </c>
      <c r="F857" s="392"/>
      <c r="G857" s="397">
        <f>G858</f>
        <v>3258</v>
      </c>
      <c r="H857" s="397">
        <f>H858</f>
        <v>3258</v>
      </c>
      <c r="I857" s="192"/>
    </row>
    <row r="858" spans="1:9" ht="31.5" x14ac:dyDescent="0.25">
      <c r="A858" s="396" t="s">
        <v>131</v>
      </c>
      <c r="B858" s="390">
        <v>908</v>
      </c>
      <c r="C858" s="392" t="s">
        <v>150</v>
      </c>
      <c r="D858" s="392" t="s">
        <v>299</v>
      </c>
      <c r="E858" s="392" t="s">
        <v>956</v>
      </c>
      <c r="F858" s="392" t="s">
        <v>132</v>
      </c>
      <c r="G858" s="397">
        <f>G859</f>
        <v>3258</v>
      </c>
      <c r="H858" s="397">
        <f>H859</f>
        <v>3258</v>
      </c>
      <c r="I858" s="192"/>
    </row>
    <row r="859" spans="1:9" ht="47.25" x14ac:dyDescent="0.25">
      <c r="A859" s="396" t="s">
        <v>133</v>
      </c>
      <c r="B859" s="390">
        <v>908</v>
      </c>
      <c r="C859" s="392" t="s">
        <v>150</v>
      </c>
      <c r="D859" s="392" t="s">
        <v>299</v>
      </c>
      <c r="E859" s="392" t="s">
        <v>956</v>
      </c>
      <c r="F859" s="392" t="s">
        <v>134</v>
      </c>
      <c r="G859" s="397">
        <v>3258</v>
      </c>
      <c r="H859" s="397">
        <f t="shared" si="78"/>
        <v>3258</v>
      </c>
      <c r="I859" s="192"/>
    </row>
    <row r="860" spans="1:9" ht="15.75" x14ac:dyDescent="0.25">
      <c r="A860" s="394" t="s">
        <v>508</v>
      </c>
      <c r="B860" s="391">
        <v>908</v>
      </c>
      <c r="C860" s="395" t="s">
        <v>150</v>
      </c>
      <c r="D860" s="395" t="s">
        <v>219</v>
      </c>
      <c r="E860" s="392"/>
      <c r="F860" s="395"/>
      <c r="G860" s="393">
        <f>G861</f>
        <v>2319</v>
      </c>
      <c r="H860" s="393">
        <f>H861</f>
        <v>2319</v>
      </c>
      <c r="I860" s="192"/>
    </row>
    <row r="861" spans="1:9" ht="47.25" x14ac:dyDescent="0.25">
      <c r="A861" s="34" t="s">
        <v>1369</v>
      </c>
      <c r="B861" s="391">
        <v>908</v>
      </c>
      <c r="C861" s="395" t="s">
        <v>150</v>
      </c>
      <c r="D861" s="395" t="s">
        <v>219</v>
      </c>
      <c r="E861" s="395" t="s">
        <v>510</v>
      </c>
      <c r="F861" s="395"/>
      <c r="G861" s="393">
        <f>G867+G862</f>
        <v>2319</v>
      </c>
      <c r="H861" s="393">
        <f>H867+H862</f>
        <v>2319</v>
      </c>
      <c r="I861" s="192"/>
    </row>
    <row r="862" spans="1:9" ht="31.5" hidden="1" x14ac:dyDescent="0.25">
      <c r="A862" s="34" t="s">
        <v>998</v>
      </c>
      <c r="B862" s="391">
        <v>908</v>
      </c>
      <c r="C862" s="395" t="s">
        <v>150</v>
      </c>
      <c r="D862" s="395" t="s">
        <v>219</v>
      </c>
      <c r="E862" s="7" t="s">
        <v>957</v>
      </c>
      <c r="F862" s="395"/>
      <c r="G862" s="393">
        <f t="shared" ref="G862:H864" si="81">G863</f>
        <v>0</v>
      </c>
      <c r="H862" s="393">
        <f t="shared" si="81"/>
        <v>0</v>
      </c>
      <c r="I862" s="192"/>
    </row>
    <row r="863" spans="1:9" ht="15.75" hidden="1" x14ac:dyDescent="0.25">
      <c r="A863" s="29" t="s">
        <v>1000</v>
      </c>
      <c r="B863" s="390">
        <v>908</v>
      </c>
      <c r="C863" s="392" t="s">
        <v>150</v>
      </c>
      <c r="D863" s="392" t="s">
        <v>219</v>
      </c>
      <c r="E863" s="399" t="s">
        <v>999</v>
      </c>
      <c r="F863" s="392"/>
      <c r="G863" s="397">
        <f t="shared" si="81"/>
        <v>0</v>
      </c>
      <c r="H863" s="397">
        <f t="shared" si="81"/>
        <v>0</v>
      </c>
      <c r="I863" s="192"/>
    </row>
    <row r="864" spans="1:9" ht="31.5" hidden="1" x14ac:dyDescent="0.25">
      <c r="A864" s="396" t="s">
        <v>131</v>
      </c>
      <c r="B864" s="390">
        <v>908</v>
      </c>
      <c r="C864" s="392" t="s">
        <v>150</v>
      </c>
      <c r="D864" s="392" t="s">
        <v>219</v>
      </c>
      <c r="E864" s="399" t="s">
        <v>999</v>
      </c>
      <c r="F864" s="392" t="s">
        <v>132</v>
      </c>
      <c r="G864" s="397">
        <f t="shared" si="81"/>
        <v>0</v>
      </c>
      <c r="H864" s="397">
        <f t="shared" si="81"/>
        <v>0</v>
      </c>
      <c r="I864" s="192"/>
    </row>
    <row r="865" spans="1:9" ht="47.25" hidden="1" x14ac:dyDescent="0.25">
      <c r="A865" s="396" t="s">
        <v>133</v>
      </c>
      <c r="B865" s="390">
        <v>908</v>
      </c>
      <c r="C865" s="392" t="s">
        <v>150</v>
      </c>
      <c r="D865" s="392" t="s">
        <v>219</v>
      </c>
      <c r="E865" s="399" t="s">
        <v>999</v>
      </c>
      <c r="F865" s="392" t="s">
        <v>134</v>
      </c>
      <c r="G865" s="397">
        <v>0</v>
      </c>
      <c r="H865" s="397">
        <v>0</v>
      </c>
      <c r="I865" s="192"/>
    </row>
    <row r="866" spans="1:9" ht="31.5" x14ac:dyDescent="0.25">
      <c r="A866" s="34" t="s">
        <v>1061</v>
      </c>
      <c r="B866" s="391">
        <v>908</v>
      </c>
      <c r="C866" s="395" t="s">
        <v>150</v>
      </c>
      <c r="D866" s="395" t="s">
        <v>219</v>
      </c>
      <c r="E866" s="395" t="s">
        <v>958</v>
      </c>
      <c r="F866" s="395"/>
      <c r="G866" s="393">
        <f t="shared" ref="G866:H870" si="82">G867</f>
        <v>2319</v>
      </c>
      <c r="H866" s="393">
        <f t="shared" si="82"/>
        <v>2319</v>
      </c>
      <c r="I866" s="192"/>
    </row>
    <row r="867" spans="1:9" ht="15.75" x14ac:dyDescent="0.25">
      <c r="A867" s="29" t="s">
        <v>511</v>
      </c>
      <c r="B867" s="390">
        <v>908</v>
      </c>
      <c r="C867" s="392" t="s">
        <v>150</v>
      </c>
      <c r="D867" s="392" t="s">
        <v>219</v>
      </c>
      <c r="E867" s="399" t="s">
        <v>1001</v>
      </c>
      <c r="F867" s="392"/>
      <c r="G867" s="397">
        <f>G870+G868</f>
        <v>2319</v>
      </c>
      <c r="H867" s="397">
        <f>H870+H868</f>
        <v>2319</v>
      </c>
      <c r="I867" s="192"/>
    </row>
    <row r="868" spans="1:9" ht="78.75" x14ac:dyDescent="0.25">
      <c r="A868" s="396" t="s">
        <v>127</v>
      </c>
      <c r="B868" s="390">
        <v>908</v>
      </c>
      <c r="C868" s="392" t="s">
        <v>150</v>
      </c>
      <c r="D868" s="392" t="s">
        <v>219</v>
      </c>
      <c r="E868" s="399" t="s">
        <v>1001</v>
      </c>
      <c r="F868" s="392" t="s">
        <v>128</v>
      </c>
      <c r="G868" s="397">
        <f>G869</f>
        <v>1807</v>
      </c>
      <c r="H868" s="397">
        <f>H869</f>
        <v>1807</v>
      </c>
      <c r="I868" s="192"/>
    </row>
    <row r="869" spans="1:9" ht="24" customHeight="1" x14ac:dyDescent="0.25">
      <c r="A869" s="396" t="s">
        <v>342</v>
      </c>
      <c r="B869" s="390">
        <v>908</v>
      </c>
      <c r="C869" s="392" t="s">
        <v>150</v>
      </c>
      <c r="D869" s="392" t="s">
        <v>219</v>
      </c>
      <c r="E869" s="399" t="s">
        <v>1001</v>
      </c>
      <c r="F869" s="392" t="s">
        <v>209</v>
      </c>
      <c r="G869" s="397">
        <v>1807</v>
      </c>
      <c r="H869" s="397">
        <f>G869</f>
        <v>1807</v>
      </c>
      <c r="I869" s="192"/>
    </row>
    <row r="870" spans="1:9" ht="31.5" x14ac:dyDescent="0.25">
      <c r="A870" s="396" t="s">
        <v>131</v>
      </c>
      <c r="B870" s="390">
        <v>908</v>
      </c>
      <c r="C870" s="392" t="s">
        <v>150</v>
      </c>
      <c r="D870" s="392" t="s">
        <v>219</v>
      </c>
      <c r="E870" s="399" t="s">
        <v>1001</v>
      </c>
      <c r="F870" s="392" t="s">
        <v>132</v>
      </c>
      <c r="G870" s="397">
        <f t="shared" si="82"/>
        <v>512</v>
      </c>
      <c r="H870" s="397">
        <f t="shared" si="82"/>
        <v>512</v>
      </c>
      <c r="I870" s="192"/>
    </row>
    <row r="871" spans="1:9" ht="47.25" x14ac:dyDescent="0.25">
      <c r="A871" s="396" t="s">
        <v>133</v>
      </c>
      <c r="B871" s="390">
        <v>908</v>
      </c>
      <c r="C871" s="392" t="s">
        <v>150</v>
      </c>
      <c r="D871" s="392" t="s">
        <v>219</v>
      </c>
      <c r="E871" s="399" t="s">
        <v>1001</v>
      </c>
      <c r="F871" s="392" t="s">
        <v>134</v>
      </c>
      <c r="G871" s="397">
        <f>1793+350-761+88.8-958.8</f>
        <v>512</v>
      </c>
      <c r="H871" s="397">
        <f>G871</f>
        <v>512</v>
      </c>
      <c r="I871" s="192"/>
    </row>
    <row r="872" spans="1:9" ht="15.75" hidden="1" x14ac:dyDescent="0.25">
      <c r="A872" s="396" t="s">
        <v>135</v>
      </c>
      <c r="B872" s="390">
        <v>908</v>
      </c>
      <c r="C872" s="392" t="s">
        <v>150</v>
      </c>
      <c r="D872" s="392" t="s">
        <v>219</v>
      </c>
      <c r="E872" s="399" t="s">
        <v>1001</v>
      </c>
      <c r="F872" s="392" t="s">
        <v>145</v>
      </c>
      <c r="G872" s="397">
        <f>'[1]Пр.5 ведом.21'!G859</f>
        <v>0</v>
      </c>
      <c r="H872" s="397">
        <f t="shared" si="78"/>
        <v>0</v>
      </c>
      <c r="I872" s="192"/>
    </row>
    <row r="873" spans="1:9" ht="15.75" hidden="1" x14ac:dyDescent="0.25">
      <c r="A873" s="396" t="s">
        <v>568</v>
      </c>
      <c r="B873" s="390">
        <v>908</v>
      </c>
      <c r="C873" s="392" t="s">
        <v>150</v>
      </c>
      <c r="D873" s="392" t="s">
        <v>219</v>
      </c>
      <c r="E873" s="399" t="s">
        <v>1001</v>
      </c>
      <c r="F873" s="392" t="s">
        <v>138</v>
      </c>
      <c r="G873" s="397">
        <f>'[1]Пр.5 ведом.21'!G860</f>
        <v>0</v>
      </c>
      <c r="H873" s="397">
        <f t="shared" si="78"/>
        <v>0</v>
      </c>
      <c r="I873" s="192"/>
    </row>
    <row r="874" spans="1:9" ht="15.75" x14ac:dyDescent="0.25">
      <c r="A874" s="394" t="s">
        <v>390</v>
      </c>
      <c r="B874" s="391">
        <v>908</v>
      </c>
      <c r="C874" s="395" t="s">
        <v>234</v>
      </c>
      <c r="D874" s="395"/>
      <c r="E874" s="395"/>
      <c r="F874" s="395"/>
      <c r="G874" s="393">
        <f>G875+G889+G953+G1003</f>
        <v>41515.699999999997</v>
      </c>
      <c r="H874" s="393">
        <f>H875+H889+H953+H1003</f>
        <v>49628.05</v>
      </c>
      <c r="I874" s="192"/>
    </row>
    <row r="875" spans="1:9" ht="15.75" x14ac:dyDescent="0.25">
      <c r="A875" s="394" t="s">
        <v>391</v>
      </c>
      <c r="B875" s="391">
        <v>908</v>
      </c>
      <c r="C875" s="395" t="s">
        <v>234</v>
      </c>
      <c r="D875" s="395" t="s">
        <v>118</v>
      </c>
      <c r="E875" s="395"/>
      <c r="F875" s="395"/>
      <c r="G875" s="393">
        <f>G876</f>
        <v>5790</v>
      </c>
      <c r="H875" s="393">
        <f>H876</f>
        <v>5790</v>
      </c>
      <c r="I875" s="192"/>
    </row>
    <row r="876" spans="1:9" ht="15.75" x14ac:dyDescent="0.25">
      <c r="A876" s="394" t="s">
        <v>141</v>
      </c>
      <c r="B876" s="391">
        <v>908</v>
      </c>
      <c r="C876" s="395" t="s">
        <v>234</v>
      </c>
      <c r="D876" s="395" t="s">
        <v>118</v>
      </c>
      <c r="E876" s="395" t="s">
        <v>865</v>
      </c>
      <c r="F876" s="395"/>
      <c r="G876" s="393">
        <f>G877</f>
        <v>5790</v>
      </c>
      <c r="H876" s="393">
        <f>H877</f>
        <v>5790</v>
      </c>
      <c r="I876" s="192"/>
    </row>
    <row r="877" spans="1:9" ht="31.5" x14ac:dyDescent="0.25">
      <c r="A877" s="394" t="s">
        <v>869</v>
      </c>
      <c r="B877" s="391">
        <v>908</v>
      </c>
      <c r="C877" s="395" t="s">
        <v>234</v>
      </c>
      <c r="D877" s="395" t="s">
        <v>118</v>
      </c>
      <c r="E877" s="395" t="s">
        <v>864</v>
      </c>
      <c r="F877" s="395"/>
      <c r="G877" s="393">
        <f>G886+G883+G878</f>
        <v>5790</v>
      </c>
      <c r="H877" s="393">
        <f>H886+H883+H878</f>
        <v>5790</v>
      </c>
      <c r="I877" s="192"/>
    </row>
    <row r="878" spans="1:9" ht="15.75" hidden="1" x14ac:dyDescent="0.25">
      <c r="A878" s="396" t="s">
        <v>515</v>
      </c>
      <c r="B878" s="390">
        <v>908</v>
      </c>
      <c r="C878" s="392" t="s">
        <v>774</v>
      </c>
      <c r="D878" s="392" t="s">
        <v>118</v>
      </c>
      <c r="E878" s="392" t="s">
        <v>959</v>
      </c>
      <c r="F878" s="395"/>
      <c r="G878" s="397">
        <f>'[1]Пр.5 ведом.21'!G865</f>
        <v>0</v>
      </c>
      <c r="H878" s="397">
        <f t="shared" si="78"/>
        <v>0</v>
      </c>
      <c r="I878" s="192"/>
    </row>
    <row r="879" spans="1:9" ht="31.5" hidden="1" x14ac:dyDescent="0.25">
      <c r="A879" s="396" t="s">
        <v>131</v>
      </c>
      <c r="B879" s="390">
        <v>908</v>
      </c>
      <c r="C879" s="392" t="s">
        <v>234</v>
      </c>
      <c r="D879" s="392" t="s">
        <v>118</v>
      </c>
      <c r="E879" s="392" t="s">
        <v>959</v>
      </c>
      <c r="F879" s="392" t="s">
        <v>132</v>
      </c>
      <c r="G879" s="397">
        <f>'[1]Пр.5 ведом.21'!G866</f>
        <v>0</v>
      </c>
      <c r="H879" s="397">
        <f t="shared" si="78"/>
        <v>0</v>
      </c>
      <c r="I879" s="192"/>
    </row>
    <row r="880" spans="1:9" ht="47.25" hidden="1" x14ac:dyDescent="0.25">
      <c r="A880" s="396" t="s">
        <v>133</v>
      </c>
      <c r="B880" s="390">
        <v>908</v>
      </c>
      <c r="C880" s="392" t="s">
        <v>234</v>
      </c>
      <c r="D880" s="392" t="s">
        <v>118</v>
      </c>
      <c r="E880" s="392" t="s">
        <v>959</v>
      </c>
      <c r="F880" s="392" t="s">
        <v>134</v>
      </c>
      <c r="G880" s="397">
        <f>'[1]Пр.5 ведом.21'!G867</f>
        <v>0</v>
      </c>
      <c r="H880" s="397">
        <f t="shared" si="78"/>
        <v>0</v>
      </c>
      <c r="I880" s="192"/>
    </row>
    <row r="881" spans="1:9" ht="15.75" hidden="1" x14ac:dyDescent="0.25">
      <c r="A881" s="396" t="s">
        <v>135</v>
      </c>
      <c r="B881" s="390">
        <v>908</v>
      </c>
      <c r="C881" s="392" t="s">
        <v>234</v>
      </c>
      <c r="D881" s="392" t="s">
        <v>118</v>
      </c>
      <c r="E881" s="392" t="s">
        <v>959</v>
      </c>
      <c r="F881" s="392" t="s">
        <v>145</v>
      </c>
      <c r="G881" s="397">
        <f>'[1]Пр.5 ведом.21'!G868</f>
        <v>0</v>
      </c>
      <c r="H881" s="397">
        <f t="shared" si="78"/>
        <v>0</v>
      </c>
      <c r="I881" s="192"/>
    </row>
    <row r="882" spans="1:9" ht="47.25" hidden="1" x14ac:dyDescent="0.25">
      <c r="A882" s="396" t="s">
        <v>184</v>
      </c>
      <c r="B882" s="390">
        <v>908</v>
      </c>
      <c r="C882" s="392" t="s">
        <v>234</v>
      </c>
      <c r="D882" s="392" t="s">
        <v>118</v>
      </c>
      <c r="E882" s="392" t="s">
        <v>959</v>
      </c>
      <c r="F882" s="392" t="s">
        <v>160</v>
      </c>
      <c r="G882" s="397">
        <f>'[1]Пр.5 ведом.21'!G869</f>
        <v>0</v>
      </c>
      <c r="H882" s="397">
        <f t="shared" si="78"/>
        <v>0</v>
      </c>
      <c r="I882" s="192"/>
    </row>
    <row r="883" spans="1:9" ht="31.5" x14ac:dyDescent="0.25">
      <c r="A883" s="29" t="s">
        <v>398</v>
      </c>
      <c r="B883" s="390">
        <v>908</v>
      </c>
      <c r="C883" s="392" t="s">
        <v>234</v>
      </c>
      <c r="D883" s="392" t="s">
        <v>118</v>
      </c>
      <c r="E883" s="392" t="s">
        <v>960</v>
      </c>
      <c r="F883" s="395"/>
      <c r="G883" s="397">
        <f>G884</f>
        <v>4650</v>
      </c>
      <c r="H883" s="397">
        <f>H884</f>
        <v>4650</v>
      </c>
      <c r="I883" s="192"/>
    </row>
    <row r="884" spans="1:9" ht="31.5" x14ac:dyDescent="0.25">
      <c r="A884" s="396" t="s">
        <v>131</v>
      </c>
      <c r="B884" s="390">
        <v>908</v>
      </c>
      <c r="C884" s="392" t="s">
        <v>234</v>
      </c>
      <c r="D884" s="392" t="s">
        <v>118</v>
      </c>
      <c r="E884" s="392" t="s">
        <v>960</v>
      </c>
      <c r="F884" s="392" t="s">
        <v>132</v>
      </c>
      <c r="G884" s="397">
        <f>G885</f>
        <v>4650</v>
      </c>
      <c r="H884" s="397">
        <f>H885</f>
        <v>4650</v>
      </c>
      <c r="I884" s="192"/>
    </row>
    <row r="885" spans="1:9" ht="47.25" x14ac:dyDescent="0.25">
      <c r="A885" s="396" t="s">
        <v>133</v>
      </c>
      <c r="B885" s="390">
        <v>908</v>
      </c>
      <c r="C885" s="392" t="s">
        <v>234</v>
      </c>
      <c r="D885" s="392" t="s">
        <v>118</v>
      </c>
      <c r="E885" s="392" t="s">
        <v>960</v>
      </c>
      <c r="F885" s="392" t="s">
        <v>134</v>
      </c>
      <c r="G885" s="397">
        <v>4650</v>
      </c>
      <c r="H885" s="397">
        <f t="shared" si="78"/>
        <v>4650</v>
      </c>
      <c r="I885" s="192"/>
    </row>
    <row r="886" spans="1:9" ht="31.5" x14ac:dyDescent="0.25">
      <c r="A886" s="29" t="s">
        <v>931</v>
      </c>
      <c r="B886" s="390">
        <v>908</v>
      </c>
      <c r="C886" s="392" t="s">
        <v>234</v>
      </c>
      <c r="D886" s="392" t="s">
        <v>118</v>
      </c>
      <c r="E886" s="392" t="s">
        <v>961</v>
      </c>
      <c r="F886" s="395"/>
      <c r="G886" s="397">
        <f>G887</f>
        <v>1140</v>
      </c>
      <c r="H886" s="397">
        <f>H887</f>
        <v>1140</v>
      </c>
      <c r="I886" s="192"/>
    </row>
    <row r="887" spans="1:9" ht="31.5" x14ac:dyDescent="0.25">
      <c r="A887" s="396" t="s">
        <v>131</v>
      </c>
      <c r="B887" s="390">
        <v>908</v>
      </c>
      <c r="C887" s="392" t="s">
        <v>234</v>
      </c>
      <c r="D887" s="392" t="s">
        <v>118</v>
      </c>
      <c r="E887" s="392" t="s">
        <v>961</v>
      </c>
      <c r="F887" s="392" t="s">
        <v>132</v>
      </c>
      <c r="G887" s="397">
        <f>G888</f>
        <v>1140</v>
      </c>
      <c r="H887" s="397">
        <f>H888</f>
        <v>1140</v>
      </c>
      <c r="I887" s="192"/>
    </row>
    <row r="888" spans="1:9" ht="47.25" x14ac:dyDescent="0.25">
      <c r="A888" s="396" t="s">
        <v>133</v>
      </c>
      <c r="B888" s="390">
        <v>908</v>
      </c>
      <c r="C888" s="392" t="s">
        <v>234</v>
      </c>
      <c r="D888" s="392" t="s">
        <v>118</v>
      </c>
      <c r="E888" s="392" t="s">
        <v>961</v>
      </c>
      <c r="F888" s="392" t="s">
        <v>134</v>
      </c>
      <c r="G888" s="397">
        <f>1140</f>
        <v>1140</v>
      </c>
      <c r="H888" s="397">
        <f t="shared" si="78"/>
        <v>1140</v>
      </c>
      <c r="I888" s="192"/>
    </row>
    <row r="889" spans="1:9" ht="15.75" x14ac:dyDescent="0.25">
      <c r="A889" s="394" t="s">
        <v>517</v>
      </c>
      <c r="B889" s="391">
        <v>908</v>
      </c>
      <c r="C889" s="395" t="s">
        <v>234</v>
      </c>
      <c r="D889" s="395" t="s">
        <v>213</v>
      </c>
      <c r="E889" s="395"/>
      <c r="F889" s="395"/>
      <c r="G889" s="393">
        <f>G890+G919+G948</f>
        <v>6611.199999999998</v>
      </c>
      <c r="H889" s="393">
        <f>H890+H919+H948</f>
        <v>14470.550000000001</v>
      </c>
      <c r="I889" s="192"/>
    </row>
    <row r="890" spans="1:9" ht="15.75" x14ac:dyDescent="0.25">
      <c r="A890" s="394" t="s">
        <v>141</v>
      </c>
      <c r="B890" s="391">
        <v>908</v>
      </c>
      <c r="C890" s="395" t="s">
        <v>234</v>
      </c>
      <c r="D890" s="395" t="s">
        <v>213</v>
      </c>
      <c r="E890" s="395" t="s">
        <v>865</v>
      </c>
      <c r="F890" s="395"/>
      <c r="G890" s="393">
        <f>G891+G902</f>
        <v>5707.199999999998</v>
      </c>
      <c r="H890" s="393">
        <f>H891+H902</f>
        <v>13555.550000000001</v>
      </c>
      <c r="I890" s="192"/>
    </row>
    <row r="891" spans="1:9" ht="31.5" x14ac:dyDescent="0.25">
      <c r="A891" s="394" t="s">
        <v>869</v>
      </c>
      <c r="B891" s="391">
        <v>908</v>
      </c>
      <c r="C891" s="395" t="s">
        <v>234</v>
      </c>
      <c r="D891" s="395" t="s">
        <v>213</v>
      </c>
      <c r="E891" s="395" t="s">
        <v>864</v>
      </c>
      <c r="F891" s="395"/>
      <c r="G891" s="393">
        <f>G892+G897</f>
        <v>5707.199999999998</v>
      </c>
      <c r="H891" s="393">
        <f>H892+H897</f>
        <v>13555.550000000001</v>
      </c>
      <c r="I891" s="192"/>
    </row>
    <row r="892" spans="1:9" ht="15.75" hidden="1" x14ac:dyDescent="0.25">
      <c r="A892" s="35" t="s">
        <v>537</v>
      </c>
      <c r="B892" s="390">
        <v>908</v>
      </c>
      <c r="C892" s="392" t="s">
        <v>234</v>
      </c>
      <c r="D892" s="392" t="s">
        <v>213</v>
      </c>
      <c r="E892" s="392" t="s">
        <v>978</v>
      </c>
      <c r="F892" s="392"/>
      <c r="G892" s="397">
        <f>G893+G895</f>
        <v>0</v>
      </c>
      <c r="H892" s="397">
        <f t="shared" si="78"/>
        <v>0</v>
      </c>
      <c r="I892" s="192"/>
    </row>
    <row r="893" spans="1:9" ht="31.5" hidden="1" x14ac:dyDescent="0.25">
      <c r="A893" s="396" t="s">
        <v>131</v>
      </c>
      <c r="B893" s="390">
        <v>908</v>
      </c>
      <c r="C893" s="392" t="s">
        <v>234</v>
      </c>
      <c r="D893" s="392" t="s">
        <v>213</v>
      </c>
      <c r="E893" s="392" t="s">
        <v>978</v>
      </c>
      <c r="F893" s="392" t="s">
        <v>132</v>
      </c>
      <c r="G893" s="397">
        <f>G894</f>
        <v>0</v>
      </c>
      <c r="H893" s="397">
        <f t="shared" si="78"/>
        <v>0</v>
      </c>
      <c r="I893" s="192"/>
    </row>
    <row r="894" spans="1:9" ht="47.25" hidden="1" x14ac:dyDescent="0.25">
      <c r="A894" s="396" t="s">
        <v>133</v>
      </c>
      <c r="B894" s="390">
        <v>908</v>
      </c>
      <c r="C894" s="392" t="s">
        <v>234</v>
      </c>
      <c r="D894" s="392" t="s">
        <v>213</v>
      </c>
      <c r="E894" s="392" t="s">
        <v>978</v>
      </c>
      <c r="F894" s="392" t="s">
        <v>134</v>
      </c>
      <c r="G894" s="397">
        <v>0</v>
      </c>
      <c r="H894" s="397">
        <f t="shared" si="78"/>
        <v>0</v>
      </c>
      <c r="I894" s="192"/>
    </row>
    <row r="895" spans="1:9" ht="15.75" hidden="1" x14ac:dyDescent="0.25">
      <c r="A895" s="396" t="s">
        <v>135</v>
      </c>
      <c r="B895" s="390">
        <v>908</v>
      </c>
      <c r="C895" s="392" t="s">
        <v>234</v>
      </c>
      <c r="D895" s="392" t="s">
        <v>213</v>
      </c>
      <c r="E895" s="392" t="s">
        <v>978</v>
      </c>
      <c r="F895" s="392" t="s">
        <v>145</v>
      </c>
      <c r="G895" s="397">
        <f>G896</f>
        <v>0</v>
      </c>
      <c r="H895" s="397">
        <f t="shared" si="78"/>
        <v>0</v>
      </c>
      <c r="I895" s="192"/>
    </row>
    <row r="896" spans="1:9" ht="47.25" hidden="1" x14ac:dyDescent="0.25">
      <c r="A896" s="396" t="s">
        <v>184</v>
      </c>
      <c r="B896" s="390">
        <v>908</v>
      </c>
      <c r="C896" s="392" t="s">
        <v>234</v>
      </c>
      <c r="D896" s="392" t="s">
        <v>213</v>
      </c>
      <c r="E896" s="392" t="s">
        <v>978</v>
      </c>
      <c r="F896" s="392" t="s">
        <v>160</v>
      </c>
      <c r="G896" s="397">
        <f>'[1]Пр.5 ведом.21'!G883</f>
        <v>0</v>
      </c>
      <c r="H896" s="397">
        <f t="shared" si="78"/>
        <v>0</v>
      </c>
      <c r="I896" s="192"/>
    </row>
    <row r="897" spans="1:9" ht="31.5" x14ac:dyDescent="0.25">
      <c r="A897" s="29" t="s">
        <v>931</v>
      </c>
      <c r="B897" s="390">
        <v>908</v>
      </c>
      <c r="C897" s="392" t="s">
        <v>234</v>
      </c>
      <c r="D897" s="392" t="s">
        <v>213</v>
      </c>
      <c r="E897" s="392" t="s">
        <v>961</v>
      </c>
      <c r="F897" s="392"/>
      <c r="G897" s="397">
        <f>G898</f>
        <v>5707.199999999998</v>
      </c>
      <c r="H897" s="397">
        <f>H898</f>
        <v>13555.550000000001</v>
      </c>
      <c r="I897" s="192"/>
    </row>
    <row r="898" spans="1:9" ht="31.5" x14ac:dyDescent="0.25">
      <c r="A898" s="396" t="s">
        <v>131</v>
      </c>
      <c r="B898" s="390">
        <v>908</v>
      </c>
      <c r="C898" s="392" t="s">
        <v>234</v>
      </c>
      <c r="D898" s="392" t="s">
        <v>213</v>
      </c>
      <c r="E898" s="392" t="s">
        <v>961</v>
      </c>
      <c r="F898" s="392" t="s">
        <v>132</v>
      </c>
      <c r="G898" s="397">
        <f>G899</f>
        <v>5707.199999999998</v>
      </c>
      <c r="H898" s="397">
        <f>H899</f>
        <v>13555.550000000001</v>
      </c>
      <c r="I898" s="192"/>
    </row>
    <row r="899" spans="1:9" ht="47.25" x14ac:dyDescent="0.25">
      <c r="A899" s="396" t="s">
        <v>133</v>
      </c>
      <c r="B899" s="390">
        <v>908</v>
      </c>
      <c r="C899" s="392" t="s">
        <v>234</v>
      </c>
      <c r="D899" s="392" t="s">
        <v>213</v>
      </c>
      <c r="E899" s="392" t="s">
        <v>961</v>
      </c>
      <c r="F899" s="392" t="s">
        <v>134</v>
      </c>
      <c r="G899" s="397">
        <f>14881.91-4224.29+2030.8-4000-3375.3+394.08</f>
        <v>5707.199999999998</v>
      </c>
      <c r="H899" s="397">
        <f>16519.25-3375.3+411.6</f>
        <v>13555.550000000001</v>
      </c>
      <c r="I899" s="192"/>
    </row>
    <row r="900" spans="1:9" ht="15.75" hidden="1" x14ac:dyDescent="0.25">
      <c r="A900" s="396" t="s">
        <v>135</v>
      </c>
      <c r="B900" s="390">
        <v>908</v>
      </c>
      <c r="C900" s="392" t="s">
        <v>234</v>
      </c>
      <c r="D900" s="392" t="s">
        <v>213</v>
      </c>
      <c r="E900" s="392" t="s">
        <v>961</v>
      </c>
      <c r="F900" s="392" t="s">
        <v>145</v>
      </c>
      <c r="G900" s="397">
        <f>'[1]Пр.5 ведом.21'!G888</f>
        <v>0</v>
      </c>
      <c r="H900" s="397">
        <f t="shared" si="78"/>
        <v>0</v>
      </c>
      <c r="I900" s="192"/>
    </row>
    <row r="901" spans="1:9" ht="15.75" hidden="1" x14ac:dyDescent="0.25">
      <c r="A901" s="396" t="s">
        <v>146</v>
      </c>
      <c r="B901" s="390">
        <v>908</v>
      </c>
      <c r="C901" s="392" t="s">
        <v>234</v>
      </c>
      <c r="D901" s="392" t="s">
        <v>213</v>
      </c>
      <c r="E901" s="392" t="s">
        <v>961</v>
      </c>
      <c r="F901" s="392" t="s">
        <v>147</v>
      </c>
      <c r="G901" s="397">
        <f>'[1]Пр.5 ведом.21'!G889</f>
        <v>0</v>
      </c>
      <c r="H901" s="397">
        <f t="shared" si="78"/>
        <v>0</v>
      </c>
      <c r="I901" s="192"/>
    </row>
    <row r="902" spans="1:9" ht="47.25" hidden="1" x14ac:dyDescent="0.25">
      <c r="A902" s="394" t="s">
        <v>1012</v>
      </c>
      <c r="B902" s="391">
        <v>908</v>
      </c>
      <c r="C902" s="395" t="s">
        <v>234</v>
      </c>
      <c r="D902" s="395" t="s">
        <v>213</v>
      </c>
      <c r="E902" s="395" t="s">
        <v>979</v>
      </c>
      <c r="F902" s="395"/>
      <c r="G902" s="393">
        <f>G903+G911+G908+G916</f>
        <v>0</v>
      </c>
      <c r="H902" s="393">
        <f>H903+H911+H908+H916</f>
        <v>0</v>
      </c>
      <c r="I902" s="192"/>
    </row>
    <row r="903" spans="1:9" ht="47.25" hidden="1" x14ac:dyDescent="0.25">
      <c r="A903" s="396" t="s">
        <v>826</v>
      </c>
      <c r="B903" s="390">
        <v>908</v>
      </c>
      <c r="C903" s="392" t="s">
        <v>234</v>
      </c>
      <c r="D903" s="392" t="s">
        <v>213</v>
      </c>
      <c r="E903" s="392" t="s">
        <v>980</v>
      </c>
      <c r="F903" s="392"/>
      <c r="G903" s="397">
        <f>'[1]Пр.5 ведом.21'!G891</f>
        <v>0</v>
      </c>
      <c r="H903" s="397">
        <f t="shared" ref="H903:H973" si="83">G903</f>
        <v>0</v>
      </c>
      <c r="I903" s="192"/>
    </row>
    <row r="904" spans="1:9" ht="31.5" hidden="1" x14ac:dyDescent="0.25">
      <c r="A904" s="396" t="s">
        <v>131</v>
      </c>
      <c r="B904" s="390">
        <v>908</v>
      </c>
      <c r="C904" s="392" t="s">
        <v>234</v>
      </c>
      <c r="D904" s="392" t="s">
        <v>213</v>
      </c>
      <c r="E904" s="392" t="s">
        <v>980</v>
      </c>
      <c r="F904" s="392" t="s">
        <v>132</v>
      </c>
      <c r="G904" s="397">
        <f>'[1]Пр.5 ведом.21'!G892</f>
        <v>0</v>
      </c>
      <c r="H904" s="397">
        <f t="shared" si="83"/>
        <v>0</v>
      </c>
      <c r="I904" s="192"/>
    </row>
    <row r="905" spans="1:9" ht="47.25" hidden="1" x14ac:dyDescent="0.25">
      <c r="A905" s="396" t="s">
        <v>133</v>
      </c>
      <c r="B905" s="390">
        <v>908</v>
      </c>
      <c r="C905" s="392" t="s">
        <v>234</v>
      </c>
      <c r="D905" s="392" t="s">
        <v>213</v>
      </c>
      <c r="E905" s="392" t="s">
        <v>980</v>
      </c>
      <c r="F905" s="392" t="s">
        <v>134</v>
      </c>
      <c r="G905" s="397">
        <f>'[1]Пр.5 ведом.21'!G893</f>
        <v>0</v>
      </c>
      <c r="H905" s="397">
        <f t="shared" si="83"/>
        <v>0</v>
      </c>
      <c r="I905" s="192"/>
    </row>
    <row r="906" spans="1:9" ht="15.75" hidden="1" x14ac:dyDescent="0.25">
      <c r="A906" s="396" t="s">
        <v>135</v>
      </c>
      <c r="B906" s="390">
        <v>908</v>
      </c>
      <c r="C906" s="392" t="s">
        <v>234</v>
      </c>
      <c r="D906" s="392" t="s">
        <v>213</v>
      </c>
      <c r="E906" s="392" t="s">
        <v>980</v>
      </c>
      <c r="F906" s="392" t="s">
        <v>836</v>
      </c>
      <c r="G906" s="397">
        <f>'[1]Пр.5 ведом.21'!G894</f>
        <v>0</v>
      </c>
      <c r="H906" s="397">
        <f t="shared" si="83"/>
        <v>0</v>
      </c>
      <c r="I906" s="192"/>
    </row>
    <row r="907" spans="1:9" ht="15.75" hidden="1" x14ac:dyDescent="0.25">
      <c r="A907" s="396" t="s">
        <v>568</v>
      </c>
      <c r="B907" s="390">
        <v>908</v>
      </c>
      <c r="C907" s="392" t="s">
        <v>234</v>
      </c>
      <c r="D907" s="392" t="s">
        <v>213</v>
      </c>
      <c r="E907" s="392" t="s">
        <v>980</v>
      </c>
      <c r="F907" s="392" t="s">
        <v>1068</v>
      </c>
      <c r="G907" s="397">
        <f>'[1]Пр.5 ведом.21'!G895</f>
        <v>0</v>
      </c>
      <c r="H907" s="397">
        <f t="shared" si="83"/>
        <v>0</v>
      </c>
      <c r="I907" s="192"/>
    </row>
    <row r="908" spans="1:9" ht="63" hidden="1" x14ac:dyDescent="0.25">
      <c r="A908" s="396" t="s">
        <v>793</v>
      </c>
      <c r="B908" s="390">
        <v>908</v>
      </c>
      <c r="C908" s="392" t="s">
        <v>234</v>
      </c>
      <c r="D908" s="392" t="s">
        <v>213</v>
      </c>
      <c r="E908" s="392" t="s">
        <v>981</v>
      </c>
      <c r="F908" s="392"/>
      <c r="G908" s="397">
        <f>'[1]Пр.5 ведом.21'!G896</f>
        <v>0</v>
      </c>
      <c r="H908" s="397">
        <f t="shared" si="83"/>
        <v>0</v>
      </c>
      <c r="I908" s="192"/>
    </row>
    <row r="909" spans="1:9" ht="31.5" hidden="1" x14ac:dyDescent="0.25">
      <c r="A909" s="396" t="s">
        <v>131</v>
      </c>
      <c r="B909" s="390">
        <v>908</v>
      </c>
      <c r="C909" s="392" t="s">
        <v>234</v>
      </c>
      <c r="D909" s="392" t="s">
        <v>213</v>
      </c>
      <c r="E909" s="392" t="s">
        <v>981</v>
      </c>
      <c r="F909" s="392" t="s">
        <v>132</v>
      </c>
      <c r="G909" s="397">
        <f>'[1]Пр.5 ведом.21'!G897</f>
        <v>0</v>
      </c>
      <c r="H909" s="397">
        <f t="shared" si="83"/>
        <v>0</v>
      </c>
      <c r="I909" s="192"/>
    </row>
    <row r="910" spans="1:9" ht="47.25" hidden="1" x14ac:dyDescent="0.25">
      <c r="A910" s="396" t="s">
        <v>133</v>
      </c>
      <c r="B910" s="390">
        <v>908</v>
      </c>
      <c r="C910" s="392" t="s">
        <v>234</v>
      </c>
      <c r="D910" s="392" t="s">
        <v>213</v>
      </c>
      <c r="E910" s="392" t="s">
        <v>981</v>
      </c>
      <c r="F910" s="392" t="s">
        <v>134</v>
      </c>
      <c r="G910" s="397">
        <f>'[1]Пр.5 ведом.21'!G898</f>
        <v>0</v>
      </c>
      <c r="H910" s="397">
        <f t="shared" si="83"/>
        <v>0</v>
      </c>
      <c r="I910" s="192"/>
    </row>
    <row r="911" spans="1:9" ht="47.25" hidden="1" x14ac:dyDescent="0.25">
      <c r="A911" s="97" t="s">
        <v>832</v>
      </c>
      <c r="B911" s="390">
        <v>908</v>
      </c>
      <c r="C911" s="392" t="s">
        <v>234</v>
      </c>
      <c r="D911" s="392" t="s">
        <v>213</v>
      </c>
      <c r="E911" s="392" t="s">
        <v>982</v>
      </c>
      <c r="F911" s="392"/>
      <c r="G911" s="397">
        <f>'[1]Пр.5 ведом.21'!G899</f>
        <v>0</v>
      </c>
      <c r="H911" s="397">
        <f t="shared" si="83"/>
        <v>0</v>
      </c>
      <c r="I911" s="192"/>
    </row>
    <row r="912" spans="1:9" ht="31.5" hidden="1" x14ac:dyDescent="0.25">
      <c r="A912" s="396" t="s">
        <v>837</v>
      </c>
      <c r="B912" s="390">
        <v>908</v>
      </c>
      <c r="C912" s="392" t="s">
        <v>234</v>
      </c>
      <c r="D912" s="392" t="s">
        <v>213</v>
      </c>
      <c r="E912" s="392" t="s">
        <v>982</v>
      </c>
      <c r="F912" s="392" t="s">
        <v>836</v>
      </c>
      <c r="G912" s="397">
        <f>'[1]Пр.5 ведом.21'!G900</f>
        <v>0</v>
      </c>
      <c r="H912" s="397">
        <f t="shared" si="83"/>
        <v>0</v>
      </c>
      <c r="I912" s="192"/>
    </row>
    <row r="913" spans="1:9" ht="63" hidden="1" x14ac:dyDescent="0.25">
      <c r="A913" s="396" t="s">
        <v>1049</v>
      </c>
      <c r="B913" s="390">
        <v>908</v>
      </c>
      <c r="C913" s="392" t="s">
        <v>234</v>
      </c>
      <c r="D913" s="392" t="s">
        <v>213</v>
      </c>
      <c r="E913" s="392" t="s">
        <v>982</v>
      </c>
      <c r="F913" s="392" t="s">
        <v>1068</v>
      </c>
      <c r="G913" s="397">
        <f>'[1]Пр.5 ведом.21'!G901</f>
        <v>0</v>
      </c>
      <c r="H913" s="397">
        <f t="shared" si="83"/>
        <v>0</v>
      </c>
      <c r="I913" s="192"/>
    </row>
    <row r="914" spans="1:9" ht="15.75" hidden="1" x14ac:dyDescent="0.25">
      <c r="A914" s="396" t="s">
        <v>135</v>
      </c>
      <c r="B914" s="390">
        <v>908</v>
      </c>
      <c r="C914" s="392" t="s">
        <v>234</v>
      </c>
      <c r="D914" s="392" t="s">
        <v>213</v>
      </c>
      <c r="E914" s="392" t="s">
        <v>982</v>
      </c>
      <c r="F914" s="392" t="s">
        <v>145</v>
      </c>
      <c r="G914" s="397">
        <f>'[1]Пр.5 ведом.21'!G902</f>
        <v>0</v>
      </c>
      <c r="H914" s="397">
        <f t="shared" si="83"/>
        <v>0</v>
      </c>
      <c r="I914" s="192"/>
    </row>
    <row r="915" spans="1:9" ht="15.75" hidden="1" x14ac:dyDescent="0.25">
      <c r="A915" s="396" t="s">
        <v>704</v>
      </c>
      <c r="B915" s="390">
        <v>908</v>
      </c>
      <c r="C915" s="392" t="s">
        <v>234</v>
      </c>
      <c r="D915" s="392" t="s">
        <v>213</v>
      </c>
      <c r="E915" s="392" t="s">
        <v>982</v>
      </c>
      <c r="F915" s="392" t="s">
        <v>138</v>
      </c>
      <c r="G915" s="397">
        <f>'[1]Пр.5 ведом.21'!G903</f>
        <v>0</v>
      </c>
      <c r="H915" s="397">
        <f t="shared" si="83"/>
        <v>0</v>
      </c>
      <c r="I915" s="192"/>
    </row>
    <row r="916" spans="1:9" ht="31.5" hidden="1" x14ac:dyDescent="0.25">
      <c r="A916" s="396" t="s">
        <v>1069</v>
      </c>
      <c r="B916" s="390">
        <v>908</v>
      </c>
      <c r="C916" s="392" t="s">
        <v>234</v>
      </c>
      <c r="D916" s="392" t="s">
        <v>213</v>
      </c>
      <c r="E916" s="392" t="s">
        <v>1070</v>
      </c>
      <c r="F916" s="392"/>
      <c r="G916" s="397">
        <f>'[1]Пр.5 ведом.21'!G904</f>
        <v>0</v>
      </c>
      <c r="H916" s="397">
        <f t="shared" si="83"/>
        <v>0</v>
      </c>
      <c r="I916" s="192"/>
    </row>
    <row r="917" spans="1:9" ht="31.5" hidden="1" x14ac:dyDescent="0.25">
      <c r="A917" s="396" t="s">
        <v>131</v>
      </c>
      <c r="B917" s="390">
        <v>908</v>
      </c>
      <c r="C917" s="392" t="s">
        <v>234</v>
      </c>
      <c r="D917" s="392" t="s">
        <v>213</v>
      </c>
      <c r="E917" s="392" t="s">
        <v>1070</v>
      </c>
      <c r="F917" s="392" t="s">
        <v>132</v>
      </c>
      <c r="G917" s="397">
        <f>'[1]Пр.5 ведом.21'!G905</f>
        <v>0</v>
      </c>
      <c r="H917" s="397">
        <f t="shared" si="83"/>
        <v>0</v>
      </c>
      <c r="I917" s="192"/>
    </row>
    <row r="918" spans="1:9" ht="47.25" hidden="1" x14ac:dyDescent="0.25">
      <c r="A918" s="396" t="s">
        <v>133</v>
      </c>
      <c r="B918" s="390">
        <v>908</v>
      </c>
      <c r="C918" s="392" t="s">
        <v>234</v>
      </c>
      <c r="D918" s="392" t="s">
        <v>213</v>
      </c>
      <c r="E918" s="392" t="s">
        <v>1070</v>
      </c>
      <c r="F918" s="392" t="s">
        <v>134</v>
      </c>
      <c r="G918" s="397">
        <f>'[1]Пр.5 ведом.21'!G906</f>
        <v>0</v>
      </c>
      <c r="H918" s="397">
        <f t="shared" si="83"/>
        <v>0</v>
      </c>
      <c r="I918" s="192"/>
    </row>
    <row r="919" spans="1:9" ht="63" x14ac:dyDescent="0.25">
      <c r="A919" s="394" t="s">
        <v>1509</v>
      </c>
      <c r="B919" s="391">
        <v>908</v>
      </c>
      <c r="C919" s="395" t="s">
        <v>234</v>
      </c>
      <c r="D919" s="395" t="s">
        <v>213</v>
      </c>
      <c r="E919" s="395" t="s">
        <v>518</v>
      </c>
      <c r="F919" s="395"/>
      <c r="G919" s="393">
        <f>G920+G924+G928+G932+G944+G940</f>
        <v>700</v>
      </c>
      <c r="H919" s="393">
        <f>H920+H924+H928+H932+H944+H940</f>
        <v>700</v>
      </c>
      <c r="I919" s="192"/>
    </row>
    <row r="920" spans="1:9" ht="31.5" x14ac:dyDescent="0.25">
      <c r="A920" s="394" t="s">
        <v>962</v>
      </c>
      <c r="B920" s="391">
        <v>908</v>
      </c>
      <c r="C920" s="395" t="s">
        <v>234</v>
      </c>
      <c r="D920" s="395" t="s">
        <v>213</v>
      </c>
      <c r="E920" s="395" t="s">
        <v>964</v>
      </c>
      <c r="F920" s="395"/>
      <c r="G920" s="393">
        <f t="shared" ref="G920:H922" si="84">G921</f>
        <v>700</v>
      </c>
      <c r="H920" s="393">
        <f t="shared" si="84"/>
        <v>700</v>
      </c>
      <c r="I920" s="192"/>
    </row>
    <row r="921" spans="1:9" ht="15.75" x14ac:dyDescent="0.25">
      <c r="A921" s="45" t="s">
        <v>963</v>
      </c>
      <c r="B921" s="390">
        <v>908</v>
      </c>
      <c r="C921" s="399" t="s">
        <v>234</v>
      </c>
      <c r="D921" s="399" t="s">
        <v>213</v>
      </c>
      <c r="E921" s="392" t="s">
        <v>965</v>
      </c>
      <c r="F921" s="399"/>
      <c r="G921" s="397">
        <f t="shared" si="84"/>
        <v>700</v>
      </c>
      <c r="H921" s="397">
        <f t="shared" si="84"/>
        <v>700</v>
      </c>
      <c r="I921" s="192"/>
    </row>
    <row r="922" spans="1:9" ht="31.5" x14ac:dyDescent="0.25">
      <c r="A922" s="31" t="s">
        <v>131</v>
      </c>
      <c r="B922" s="390">
        <v>908</v>
      </c>
      <c r="C922" s="399" t="s">
        <v>234</v>
      </c>
      <c r="D922" s="399" t="s">
        <v>213</v>
      </c>
      <c r="E922" s="392" t="s">
        <v>965</v>
      </c>
      <c r="F922" s="399" t="s">
        <v>132</v>
      </c>
      <c r="G922" s="397">
        <f t="shared" si="84"/>
        <v>700</v>
      </c>
      <c r="H922" s="397">
        <f t="shared" si="84"/>
        <v>700</v>
      </c>
      <c r="I922" s="192"/>
    </row>
    <row r="923" spans="1:9" ht="47.25" x14ac:dyDescent="0.25">
      <c r="A923" s="31" t="s">
        <v>133</v>
      </c>
      <c r="B923" s="390">
        <v>908</v>
      </c>
      <c r="C923" s="399" t="s">
        <v>234</v>
      </c>
      <c r="D923" s="399" t="s">
        <v>213</v>
      </c>
      <c r="E923" s="392" t="s">
        <v>965</v>
      </c>
      <c r="F923" s="399" t="s">
        <v>134</v>
      </c>
      <c r="G923" s="397">
        <v>700</v>
      </c>
      <c r="H923" s="397">
        <v>700</v>
      </c>
      <c r="I923" s="192"/>
    </row>
    <row r="924" spans="1:9" ht="31.5" hidden="1" x14ac:dyDescent="0.25">
      <c r="A924" s="34" t="s">
        <v>966</v>
      </c>
      <c r="B924" s="391">
        <v>908</v>
      </c>
      <c r="C924" s="7" t="s">
        <v>234</v>
      </c>
      <c r="D924" s="7" t="s">
        <v>213</v>
      </c>
      <c r="E924" s="395" t="s">
        <v>967</v>
      </c>
      <c r="F924" s="7"/>
      <c r="G924" s="393">
        <f>G925</f>
        <v>0</v>
      </c>
      <c r="H924" s="393">
        <f>H925</f>
        <v>0</v>
      </c>
      <c r="I924" s="192"/>
    </row>
    <row r="925" spans="1:9" ht="15.75" hidden="1" x14ac:dyDescent="0.25">
      <c r="A925" s="45" t="s">
        <v>523</v>
      </c>
      <c r="B925" s="390">
        <v>908</v>
      </c>
      <c r="C925" s="399" t="s">
        <v>234</v>
      </c>
      <c r="D925" s="399" t="s">
        <v>213</v>
      </c>
      <c r="E925" s="392" t="s">
        <v>970</v>
      </c>
      <c r="F925" s="399"/>
      <c r="G925" s="397">
        <f>'[1]Пр.5 ведом.21'!G913</f>
        <v>0</v>
      </c>
      <c r="H925" s="397">
        <f t="shared" si="83"/>
        <v>0</v>
      </c>
      <c r="I925" s="192"/>
    </row>
    <row r="926" spans="1:9" ht="31.5" hidden="1" x14ac:dyDescent="0.25">
      <c r="A926" s="31" t="s">
        <v>131</v>
      </c>
      <c r="B926" s="390">
        <v>908</v>
      </c>
      <c r="C926" s="399" t="s">
        <v>234</v>
      </c>
      <c r="D926" s="399" t="s">
        <v>213</v>
      </c>
      <c r="E926" s="392" t="s">
        <v>970</v>
      </c>
      <c r="F926" s="399" t="s">
        <v>132</v>
      </c>
      <c r="G926" s="397">
        <f>'[1]Пр.5 ведом.21'!G914</f>
        <v>0</v>
      </c>
      <c r="H926" s="397">
        <f t="shared" si="83"/>
        <v>0</v>
      </c>
      <c r="I926" s="192"/>
    </row>
    <row r="927" spans="1:9" ht="47.25" hidden="1" x14ac:dyDescent="0.25">
      <c r="A927" s="31" t="s">
        <v>133</v>
      </c>
      <c r="B927" s="390">
        <v>908</v>
      </c>
      <c r="C927" s="399" t="s">
        <v>234</v>
      </c>
      <c r="D927" s="399" t="s">
        <v>213</v>
      </c>
      <c r="E927" s="392" t="s">
        <v>970</v>
      </c>
      <c r="F927" s="399" t="s">
        <v>134</v>
      </c>
      <c r="G927" s="397">
        <f>'[1]Пр.5 ведом.21'!G915</f>
        <v>0</v>
      </c>
      <c r="H927" s="397">
        <f t="shared" si="83"/>
        <v>0</v>
      </c>
      <c r="I927" s="192"/>
    </row>
    <row r="928" spans="1:9" ht="31.5" hidden="1" x14ac:dyDescent="0.25">
      <c r="A928" s="58" t="s">
        <v>968</v>
      </c>
      <c r="B928" s="391">
        <v>908</v>
      </c>
      <c r="C928" s="7" t="s">
        <v>234</v>
      </c>
      <c r="D928" s="7" t="s">
        <v>213</v>
      </c>
      <c r="E928" s="395" t="s">
        <v>969</v>
      </c>
      <c r="F928" s="7"/>
      <c r="G928" s="388">
        <f>G929</f>
        <v>0</v>
      </c>
      <c r="H928" s="388">
        <f>H929</f>
        <v>0</v>
      </c>
      <c r="I928" s="192"/>
    </row>
    <row r="929" spans="1:9" ht="15.75" hidden="1" x14ac:dyDescent="0.25">
      <c r="A929" s="45" t="s">
        <v>525</v>
      </c>
      <c r="B929" s="390">
        <v>908</v>
      </c>
      <c r="C929" s="399" t="s">
        <v>234</v>
      </c>
      <c r="D929" s="399" t="s">
        <v>213</v>
      </c>
      <c r="E929" s="392" t="s">
        <v>971</v>
      </c>
      <c r="F929" s="399"/>
      <c r="G929" s="397">
        <f>'[1]Пр.5 ведом.21'!G917</f>
        <v>0</v>
      </c>
      <c r="H929" s="397">
        <f t="shared" si="83"/>
        <v>0</v>
      </c>
      <c r="I929" s="192"/>
    </row>
    <row r="930" spans="1:9" ht="31.5" hidden="1" x14ac:dyDescent="0.25">
      <c r="A930" s="31" t="s">
        <v>131</v>
      </c>
      <c r="B930" s="390">
        <v>908</v>
      </c>
      <c r="C930" s="399" t="s">
        <v>234</v>
      </c>
      <c r="D930" s="399" t="s">
        <v>213</v>
      </c>
      <c r="E930" s="392" t="s">
        <v>971</v>
      </c>
      <c r="F930" s="399" t="s">
        <v>132</v>
      </c>
      <c r="G930" s="397">
        <f>'[1]Пр.5 ведом.21'!G918</f>
        <v>0</v>
      </c>
      <c r="H930" s="397">
        <f t="shared" si="83"/>
        <v>0</v>
      </c>
      <c r="I930" s="192"/>
    </row>
    <row r="931" spans="1:9" ht="47.25" hidden="1" x14ac:dyDescent="0.25">
      <c r="A931" s="31" t="s">
        <v>133</v>
      </c>
      <c r="B931" s="390">
        <v>908</v>
      </c>
      <c r="C931" s="399" t="s">
        <v>234</v>
      </c>
      <c r="D931" s="399" t="s">
        <v>213</v>
      </c>
      <c r="E931" s="392" t="s">
        <v>971</v>
      </c>
      <c r="F931" s="399" t="s">
        <v>134</v>
      </c>
      <c r="G931" s="397">
        <f>'[1]Пр.5 ведом.21'!G919</f>
        <v>0</v>
      </c>
      <c r="H931" s="397">
        <f t="shared" si="83"/>
        <v>0</v>
      </c>
      <c r="I931" s="192"/>
    </row>
    <row r="932" spans="1:9" ht="31.5" hidden="1" x14ac:dyDescent="0.25">
      <c r="A932" s="58" t="s">
        <v>972</v>
      </c>
      <c r="B932" s="391">
        <v>908</v>
      </c>
      <c r="C932" s="7" t="s">
        <v>234</v>
      </c>
      <c r="D932" s="7" t="s">
        <v>213</v>
      </c>
      <c r="E932" s="395" t="s">
        <v>973</v>
      </c>
      <c r="F932" s="7"/>
      <c r="G932" s="388">
        <f>G933</f>
        <v>0</v>
      </c>
      <c r="H932" s="388">
        <f>H933</f>
        <v>0</v>
      </c>
      <c r="I932" s="192"/>
    </row>
    <row r="933" spans="1:9" ht="15.75" hidden="1" x14ac:dyDescent="0.25">
      <c r="A933" s="45" t="s">
        <v>527</v>
      </c>
      <c r="B933" s="390">
        <v>908</v>
      </c>
      <c r="C933" s="399" t="s">
        <v>234</v>
      </c>
      <c r="D933" s="399" t="s">
        <v>213</v>
      </c>
      <c r="E933" s="392" t="s">
        <v>974</v>
      </c>
      <c r="F933" s="399"/>
      <c r="G933" s="397">
        <f>'[1]Пр.5 ведом.21'!G921</f>
        <v>0</v>
      </c>
      <c r="H933" s="397">
        <f t="shared" si="83"/>
        <v>0</v>
      </c>
      <c r="I933" s="192"/>
    </row>
    <row r="934" spans="1:9" ht="31.5" hidden="1" x14ac:dyDescent="0.25">
      <c r="A934" s="31" t="s">
        <v>131</v>
      </c>
      <c r="B934" s="390">
        <v>908</v>
      </c>
      <c r="C934" s="399" t="s">
        <v>234</v>
      </c>
      <c r="D934" s="399" t="s">
        <v>213</v>
      </c>
      <c r="E934" s="392" t="s">
        <v>974</v>
      </c>
      <c r="F934" s="399" t="s">
        <v>132</v>
      </c>
      <c r="G934" s="397">
        <f>'[1]Пр.5 ведом.21'!G922</f>
        <v>0</v>
      </c>
      <c r="H934" s="397">
        <f t="shared" si="83"/>
        <v>0</v>
      </c>
      <c r="I934" s="192"/>
    </row>
    <row r="935" spans="1:9" ht="47.25" hidden="1" x14ac:dyDescent="0.25">
      <c r="A935" s="31" t="s">
        <v>133</v>
      </c>
      <c r="B935" s="390">
        <v>908</v>
      </c>
      <c r="C935" s="399" t="s">
        <v>234</v>
      </c>
      <c r="D935" s="399" t="s">
        <v>213</v>
      </c>
      <c r="E935" s="392" t="s">
        <v>974</v>
      </c>
      <c r="F935" s="399" t="s">
        <v>134</v>
      </c>
      <c r="G935" s="397">
        <f>'[1]Пр.5 ведом.21'!G923</f>
        <v>0</v>
      </c>
      <c r="H935" s="397">
        <f t="shared" si="83"/>
        <v>0</v>
      </c>
      <c r="I935" s="192"/>
    </row>
    <row r="936" spans="1:9" ht="31.5" hidden="1" x14ac:dyDescent="0.25">
      <c r="A936" s="34" t="s">
        <v>1013</v>
      </c>
      <c r="B936" s="391">
        <v>908</v>
      </c>
      <c r="C936" s="7" t="s">
        <v>234</v>
      </c>
      <c r="D936" s="7" t="s">
        <v>213</v>
      </c>
      <c r="E936" s="395" t="s">
        <v>1014</v>
      </c>
      <c r="F936" s="7"/>
      <c r="G936" s="388">
        <f>G937</f>
        <v>0</v>
      </c>
      <c r="H936" s="388">
        <f>H937</f>
        <v>0</v>
      </c>
      <c r="I936" s="192"/>
    </row>
    <row r="937" spans="1:9" ht="15.75" hidden="1" x14ac:dyDescent="0.25">
      <c r="A937" s="45" t="s">
        <v>529</v>
      </c>
      <c r="B937" s="390">
        <v>908</v>
      </c>
      <c r="C937" s="399" t="s">
        <v>234</v>
      </c>
      <c r="D937" s="399" t="s">
        <v>213</v>
      </c>
      <c r="E937" s="392" t="s">
        <v>1017</v>
      </c>
      <c r="F937" s="399"/>
      <c r="G937" s="397">
        <f>'[1]Пр.5 ведом.21'!G925</f>
        <v>0</v>
      </c>
      <c r="H937" s="397">
        <f t="shared" si="83"/>
        <v>0</v>
      </c>
      <c r="I937" s="192"/>
    </row>
    <row r="938" spans="1:9" ht="31.5" hidden="1" x14ac:dyDescent="0.25">
      <c r="A938" s="31" t="s">
        <v>131</v>
      </c>
      <c r="B938" s="390">
        <v>908</v>
      </c>
      <c r="C938" s="399" t="s">
        <v>234</v>
      </c>
      <c r="D938" s="399" t="s">
        <v>213</v>
      </c>
      <c r="E938" s="392" t="s">
        <v>1017</v>
      </c>
      <c r="F938" s="399" t="s">
        <v>132</v>
      </c>
      <c r="G938" s="397">
        <f>'[1]Пр.5 ведом.21'!G926</f>
        <v>0</v>
      </c>
      <c r="H938" s="397">
        <f t="shared" si="83"/>
        <v>0</v>
      </c>
      <c r="I938" s="192"/>
    </row>
    <row r="939" spans="1:9" ht="47.25" hidden="1" x14ac:dyDescent="0.25">
      <c r="A939" s="31" t="s">
        <v>133</v>
      </c>
      <c r="B939" s="390">
        <v>908</v>
      </c>
      <c r="C939" s="399" t="s">
        <v>234</v>
      </c>
      <c r="D939" s="399" t="s">
        <v>213</v>
      </c>
      <c r="E939" s="392" t="s">
        <v>1017</v>
      </c>
      <c r="F939" s="399" t="s">
        <v>134</v>
      </c>
      <c r="G939" s="397">
        <f>'[1]Пр.5 ведом.21'!G927</f>
        <v>0</v>
      </c>
      <c r="H939" s="397">
        <f t="shared" si="83"/>
        <v>0</v>
      </c>
      <c r="I939" s="192"/>
    </row>
    <row r="940" spans="1:9" ht="31.5" hidden="1" x14ac:dyDescent="0.25">
      <c r="A940" s="204" t="s">
        <v>1015</v>
      </c>
      <c r="B940" s="391">
        <v>908</v>
      </c>
      <c r="C940" s="7" t="s">
        <v>234</v>
      </c>
      <c r="D940" s="7" t="s">
        <v>213</v>
      </c>
      <c r="E940" s="395" t="s">
        <v>1016</v>
      </c>
      <c r="F940" s="7"/>
      <c r="G940" s="393">
        <f>G941</f>
        <v>0</v>
      </c>
      <c r="H940" s="393">
        <f>H941</f>
        <v>0</v>
      </c>
      <c r="I940" s="192"/>
    </row>
    <row r="941" spans="1:9" ht="31.5" hidden="1" x14ac:dyDescent="0.25">
      <c r="A941" s="172" t="s">
        <v>531</v>
      </c>
      <c r="B941" s="390">
        <v>908</v>
      </c>
      <c r="C941" s="399" t="s">
        <v>234</v>
      </c>
      <c r="D941" s="399" t="s">
        <v>213</v>
      </c>
      <c r="E941" s="392" t="s">
        <v>1018</v>
      </c>
      <c r="F941" s="399"/>
      <c r="G941" s="397">
        <f>'[1]Пр.5 ведом.21'!G929</f>
        <v>0</v>
      </c>
      <c r="H941" s="397">
        <f t="shared" si="83"/>
        <v>0</v>
      </c>
      <c r="I941" s="192"/>
    </row>
    <row r="942" spans="1:9" ht="31.5" hidden="1" x14ac:dyDescent="0.25">
      <c r="A942" s="31" t="s">
        <v>131</v>
      </c>
      <c r="B942" s="390">
        <v>908</v>
      </c>
      <c r="C942" s="399" t="s">
        <v>234</v>
      </c>
      <c r="D942" s="399" t="s">
        <v>213</v>
      </c>
      <c r="E942" s="392" t="s">
        <v>1018</v>
      </c>
      <c r="F942" s="399" t="s">
        <v>132</v>
      </c>
      <c r="G942" s="397">
        <f>'[1]Пр.5 ведом.21'!G930</f>
        <v>0</v>
      </c>
      <c r="H942" s="397">
        <f t="shared" si="83"/>
        <v>0</v>
      </c>
      <c r="I942" s="192"/>
    </row>
    <row r="943" spans="1:9" ht="47.25" hidden="1" x14ac:dyDescent="0.25">
      <c r="A943" s="31" t="s">
        <v>133</v>
      </c>
      <c r="B943" s="390">
        <v>908</v>
      </c>
      <c r="C943" s="399" t="s">
        <v>234</v>
      </c>
      <c r="D943" s="399" t="s">
        <v>213</v>
      </c>
      <c r="E943" s="392" t="s">
        <v>1018</v>
      </c>
      <c r="F943" s="399" t="s">
        <v>134</v>
      </c>
      <c r="G943" s="397">
        <f>'[1]Пр.5 ведом.21'!G931</f>
        <v>0</v>
      </c>
      <c r="H943" s="397">
        <f t="shared" si="83"/>
        <v>0</v>
      </c>
      <c r="I943" s="192"/>
    </row>
    <row r="944" spans="1:9" ht="31.5" hidden="1" x14ac:dyDescent="0.25">
      <c r="A944" s="204" t="s">
        <v>976</v>
      </c>
      <c r="B944" s="391">
        <v>908</v>
      </c>
      <c r="C944" s="7" t="s">
        <v>234</v>
      </c>
      <c r="D944" s="7" t="s">
        <v>213</v>
      </c>
      <c r="E944" s="395" t="s">
        <v>977</v>
      </c>
      <c r="F944" s="7"/>
      <c r="G944" s="393">
        <f>G945</f>
        <v>0</v>
      </c>
      <c r="H944" s="393">
        <f>H945</f>
        <v>0</v>
      </c>
      <c r="I944" s="192"/>
    </row>
    <row r="945" spans="1:9" ht="15.75" hidden="1" x14ac:dyDescent="0.25">
      <c r="A945" s="172" t="s">
        <v>533</v>
      </c>
      <c r="B945" s="390">
        <v>908</v>
      </c>
      <c r="C945" s="399" t="s">
        <v>234</v>
      </c>
      <c r="D945" s="399" t="s">
        <v>213</v>
      </c>
      <c r="E945" s="392" t="s">
        <v>975</v>
      </c>
      <c r="F945" s="399"/>
      <c r="G945" s="397">
        <f>'[1]Пр.5 ведом.21'!G933</f>
        <v>0</v>
      </c>
      <c r="H945" s="397">
        <f t="shared" si="83"/>
        <v>0</v>
      </c>
      <c r="I945" s="192"/>
    </row>
    <row r="946" spans="1:9" ht="31.5" hidden="1" x14ac:dyDescent="0.25">
      <c r="A946" s="396" t="s">
        <v>131</v>
      </c>
      <c r="B946" s="390">
        <v>908</v>
      </c>
      <c r="C946" s="399" t="s">
        <v>234</v>
      </c>
      <c r="D946" s="399" t="s">
        <v>213</v>
      </c>
      <c r="E946" s="392" t="s">
        <v>975</v>
      </c>
      <c r="F946" s="399" t="s">
        <v>132</v>
      </c>
      <c r="G946" s="397">
        <f>'[1]Пр.5 ведом.21'!G934</f>
        <v>0</v>
      </c>
      <c r="H946" s="397">
        <f t="shared" si="83"/>
        <v>0</v>
      </c>
      <c r="I946" s="192"/>
    </row>
    <row r="947" spans="1:9" ht="47.25" hidden="1" x14ac:dyDescent="0.25">
      <c r="A947" s="396" t="s">
        <v>133</v>
      </c>
      <c r="B947" s="390">
        <v>908</v>
      </c>
      <c r="C947" s="399" t="s">
        <v>234</v>
      </c>
      <c r="D947" s="399" t="s">
        <v>213</v>
      </c>
      <c r="E947" s="392" t="s">
        <v>975</v>
      </c>
      <c r="F947" s="399" t="s">
        <v>134</v>
      </c>
      <c r="G947" s="397">
        <f>'[1]Пр.5 ведом.21'!G935</f>
        <v>0</v>
      </c>
      <c r="H947" s="397">
        <f t="shared" si="83"/>
        <v>0</v>
      </c>
      <c r="I947" s="192"/>
    </row>
    <row r="948" spans="1:9" ht="47.25" x14ac:dyDescent="0.25">
      <c r="A948" s="394" t="s">
        <v>1511</v>
      </c>
      <c r="B948" s="391">
        <v>908</v>
      </c>
      <c r="C948" s="7" t="s">
        <v>234</v>
      </c>
      <c r="D948" s="7" t="s">
        <v>213</v>
      </c>
      <c r="E948" s="395" t="s">
        <v>1139</v>
      </c>
      <c r="F948" s="7"/>
      <c r="G948" s="393">
        <f t="shared" ref="G948:H951" si="85">G949</f>
        <v>204</v>
      </c>
      <c r="H948" s="393">
        <f t="shared" si="85"/>
        <v>215</v>
      </c>
      <c r="I948" s="192"/>
    </row>
    <row r="949" spans="1:9" ht="31.5" x14ac:dyDescent="0.25">
      <c r="A949" s="351" t="s">
        <v>1515</v>
      </c>
      <c r="B949" s="391">
        <v>908</v>
      </c>
      <c r="C949" s="7" t="s">
        <v>234</v>
      </c>
      <c r="D949" s="7" t="s">
        <v>213</v>
      </c>
      <c r="E949" s="395" t="s">
        <v>1141</v>
      </c>
      <c r="F949" s="7"/>
      <c r="G949" s="393">
        <f t="shared" si="85"/>
        <v>204</v>
      </c>
      <c r="H949" s="393">
        <f t="shared" si="85"/>
        <v>215</v>
      </c>
      <c r="I949" s="192"/>
    </row>
    <row r="950" spans="1:9" ht="15.75" x14ac:dyDescent="0.25">
      <c r="A950" s="396" t="s">
        <v>537</v>
      </c>
      <c r="B950" s="390">
        <v>908</v>
      </c>
      <c r="C950" s="399" t="s">
        <v>234</v>
      </c>
      <c r="D950" s="399" t="s">
        <v>213</v>
      </c>
      <c r="E950" s="392" t="s">
        <v>1142</v>
      </c>
      <c r="F950" s="399"/>
      <c r="G950" s="397">
        <f t="shared" si="85"/>
        <v>204</v>
      </c>
      <c r="H950" s="397">
        <f t="shared" si="85"/>
        <v>215</v>
      </c>
      <c r="I950" s="192"/>
    </row>
    <row r="951" spans="1:9" ht="31.5" x14ac:dyDescent="0.25">
      <c r="A951" s="396" t="s">
        <v>131</v>
      </c>
      <c r="B951" s="390">
        <v>908</v>
      </c>
      <c r="C951" s="399" t="s">
        <v>234</v>
      </c>
      <c r="D951" s="399" t="s">
        <v>213</v>
      </c>
      <c r="E951" s="392" t="s">
        <v>1142</v>
      </c>
      <c r="F951" s="399" t="s">
        <v>132</v>
      </c>
      <c r="G951" s="397">
        <f t="shared" si="85"/>
        <v>204</v>
      </c>
      <c r="H951" s="397">
        <f t="shared" si="85"/>
        <v>215</v>
      </c>
      <c r="I951" s="192"/>
    </row>
    <row r="952" spans="1:9" ht="31.7" customHeight="1" x14ac:dyDescent="0.25">
      <c r="A952" s="396" t="s">
        <v>133</v>
      </c>
      <c r="B952" s="390">
        <v>908</v>
      </c>
      <c r="C952" s="399" t="s">
        <v>234</v>
      </c>
      <c r="D952" s="399" t="s">
        <v>213</v>
      </c>
      <c r="E952" s="392" t="s">
        <v>1142</v>
      </c>
      <c r="F952" s="399" t="s">
        <v>134</v>
      </c>
      <c r="G952" s="397">
        <v>204</v>
      </c>
      <c r="H952" s="397">
        <v>215</v>
      </c>
      <c r="I952" s="192"/>
    </row>
    <row r="953" spans="1:9" ht="15.75" x14ac:dyDescent="0.25">
      <c r="A953" s="394" t="s">
        <v>541</v>
      </c>
      <c r="B953" s="391">
        <v>908</v>
      </c>
      <c r="C953" s="395" t="s">
        <v>234</v>
      </c>
      <c r="D953" s="395" t="s">
        <v>215</v>
      </c>
      <c r="E953" s="395"/>
      <c r="F953" s="395"/>
      <c r="G953" s="393">
        <f>G954+G959+G998</f>
        <v>3810</v>
      </c>
      <c r="H953" s="393">
        <f>H954+H959+H998</f>
        <v>4063</v>
      </c>
      <c r="I953" s="192"/>
    </row>
    <row r="954" spans="1:9" ht="15.75" x14ac:dyDescent="0.25">
      <c r="A954" s="394" t="s">
        <v>141</v>
      </c>
      <c r="B954" s="391">
        <v>908</v>
      </c>
      <c r="C954" s="395" t="s">
        <v>234</v>
      </c>
      <c r="D954" s="395" t="s">
        <v>215</v>
      </c>
      <c r="E954" s="395" t="s">
        <v>865</v>
      </c>
      <c r="F954" s="395"/>
      <c r="G954" s="393">
        <f t="shared" ref="G954:H957" si="86">G955</f>
        <v>1390</v>
      </c>
      <c r="H954" s="393">
        <f t="shared" si="86"/>
        <v>1390</v>
      </c>
      <c r="I954" s="192"/>
    </row>
    <row r="955" spans="1:9" ht="31.5" x14ac:dyDescent="0.25">
      <c r="A955" s="394" t="s">
        <v>869</v>
      </c>
      <c r="B955" s="391">
        <v>908</v>
      </c>
      <c r="C955" s="395" t="s">
        <v>234</v>
      </c>
      <c r="D955" s="395" t="s">
        <v>215</v>
      </c>
      <c r="E955" s="395" t="s">
        <v>864</v>
      </c>
      <c r="F955" s="395"/>
      <c r="G955" s="393">
        <f t="shared" si="86"/>
        <v>1390</v>
      </c>
      <c r="H955" s="393">
        <f t="shared" si="86"/>
        <v>1390</v>
      </c>
      <c r="I955" s="192"/>
    </row>
    <row r="956" spans="1:9" ht="15.75" x14ac:dyDescent="0.25">
      <c r="A956" s="396" t="s">
        <v>564</v>
      </c>
      <c r="B956" s="390">
        <v>908</v>
      </c>
      <c r="C956" s="392" t="s">
        <v>234</v>
      </c>
      <c r="D956" s="392" t="s">
        <v>215</v>
      </c>
      <c r="E956" s="392" t="s">
        <v>1075</v>
      </c>
      <c r="F956" s="392"/>
      <c r="G956" s="397">
        <f t="shared" si="86"/>
        <v>1390</v>
      </c>
      <c r="H956" s="397">
        <f t="shared" si="86"/>
        <v>1390</v>
      </c>
      <c r="I956" s="192"/>
    </row>
    <row r="957" spans="1:9" ht="31.5" x14ac:dyDescent="0.25">
      <c r="A957" s="396" t="s">
        <v>131</v>
      </c>
      <c r="B957" s="390">
        <v>908</v>
      </c>
      <c r="C957" s="392" t="s">
        <v>234</v>
      </c>
      <c r="D957" s="392" t="s">
        <v>215</v>
      </c>
      <c r="E957" s="392" t="s">
        <v>1075</v>
      </c>
      <c r="F957" s="392" t="s">
        <v>132</v>
      </c>
      <c r="G957" s="397">
        <f t="shared" si="86"/>
        <v>1390</v>
      </c>
      <c r="H957" s="397">
        <f t="shared" si="86"/>
        <v>1390</v>
      </c>
      <c r="I957" s="192"/>
    </row>
    <row r="958" spans="1:9" ht="33.4" customHeight="1" x14ac:dyDescent="0.25">
      <c r="A958" s="396" t="s">
        <v>133</v>
      </c>
      <c r="B958" s="390">
        <v>908</v>
      </c>
      <c r="C958" s="392" t="s">
        <v>234</v>
      </c>
      <c r="D958" s="392" t="s">
        <v>215</v>
      </c>
      <c r="E958" s="392" t="s">
        <v>1075</v>
      </c>
      <c r="F958" s="392" t="s">
        <v>134</v>
      </c>
      <c r="G958" s="397">
        <f>390+1000</f>
        <v>1390</v>
      </c>
      <c r="H958" s="397">
        <f t="shared" si="83"/>
        <v>1390</v>
      </c>
      <c r="I958" s="192"/>
    </row>
    <row r="959" spans="1:9" ht="31.5" x14ac:dyDescent="0.25">
      <c r="A959" s="394" t="s">
        <v>1361</v>
      </c>
      <c r="B959" s="391">
        <v>908</v>
      </c>
      <c r="C959" s="395" t="s">
        <v>234</v>
      </c>
      <c r="D959" s="395" t="s">
        <v>215</v>
      </c>
      <c r="E959" s="395" t="s">
        <v>543</v>
      </c>
      <c r="F959" s="395"/>
      <c r="G959" s="393">
        <f>G960+G964+G991</f>
        <v>1920</v>
      </c>
      <c r="H959" s="393">
        <f>H960+H964+H991</f>
        <v>2173</v>
      </c>
      <c r="I959" s="192"/>
    </row>
    <row r="960" spans="1:9" ht="47.25" hidden="1" x14ac:dyDescent="0.25">
      <c r="A960" s="394" t="s">
        <v>1428</v>
      </c>
      <c r="B960" s="391">
        <v>908</v>
      </c>
      <c r="C960" s="395" t="s">
        <v>234</v>
      </c>
      <c r="D960" s="395" t="s">
        <v>215</v>
      </c>
      <c r="E960" s="395" t="s">
        <v>1271</v>
      </c>
      <c r="F960" s="395"/>
      <c r="G960" s="393">
        <f t="shared" ref="G960:H962" si="87">G961</f>
        <v>0</v>
      </c>
      <c r="H960" s="393">
        <f t="shared" si="87"/>
        <v>0</v>
      </c>
      <c r="I960" s="192"/>
    </row>
    <row r="961" spans="1:9" ht="31.5" hidden="1" x14ac:dyDescent="0.25">
      <c r="A961" s="289" t="s">
        <v>1429</v>
      </c>
      <c r="B961" s="390">
        <v>908</v>
      </c>
      <c r="C961" s="392" t="s">
        <v>234</v>
      </c>
      <c r="D961" s="392" t="s">
        <v>215</v>
      </c>
      <c r="E961" s="392" t="s">
        <v>1418</v>
      </c>
      <c r="F961" s="392"/>
      <c r="G961" s="397">
        <f t="shared" si="87"/>
        <v>0</v>
      </c>
      <c r="H961" s="397">
        <f t="shared" si="87"/>
        <v>0</v>
      </c>
      <c r="I961" s="192"/>
    </row>
    <row r="962" spans="1:9" ht="31.5" hidden="1" x14ac:dyDescent="0.25">
      <c r="A962" s="396" t="s">
        <v>131</v>
      </c>
      <c r="B962" s="390">
        <v>908</v>
      </c>
      <c r="C962" s="392" t="s">
        <v>234</v>
      </c>
      <c r="D962" s="392" t="s">
        <v>215</v>
      </c>
      <c r="E962" s="392" t="s">
        <v>1418</v>
      </c>
      <c r="F962" s="392" t="s">
        <v>132</v>
      </c>
      <c r="G962" s="397">
        <f t="shared" si="87"/>
        <v>0</v>
      </c>
      <c r="H962" s="397">
        <f t="shared" si="87"/>
        <v>0</v>
      </c>
      <c r="I962" s="192"/>
    </row>
    <row r="963" spans="1:9" ht="47.25" hidden="1" x14ac:dyDescent="0.25">
      <c r="A963" s="396" t="s">
        <v>133</v>
      </c>
      <c r="B963" s="390">
        <v>908</v>
      </c>
      <c r="C963" s="392" t="s">
        <v>234</v>
      </c>
      <c r="D963" s="392" t="s">
        <v>215</v>
      </c>
      <c r="E963" s="392" t="s">
        <v>1418</v>
      </c>
      <c r="F963" s="392" t="s">
        <v>134</v>
      </c>
      <c r="G963" s="397">
        <v>0</v>
      </c>
      <c r="H963" s="397">
        <v>0</v>
      </c>
      <c r="I963" s="192"/>
    </row>
    <row r="964" spans="1:9" ht="31.5" x14ac:dyDescent="0.25">
      <c r="A964" s="394" t="s">
        <v>1443</v>
      </c>
      <c r="B964" s="391">
        <v>908</v>
      </c>
      <c r="C964" s="395" t="s">
        <v>234</v>
      </c>
      <c r="D964" s="395" t="s">
        <v>215</v>
      </c>
      <c r="E964" s="395" t="s">
        <v>1272</v>
      </c>
      <c r="F964" s="395"/>
      <c r="G964" s="393">
        <f>G965+G968+G974+G977+G980+G985+G988</f>
        <v>1920</v>
      </c>
      <c r="H964" s="393">
        <f>H965+H968+H974+H977+H980+H985+H988</f>
        <v>2173</v>
      </c>
      <c r="I964" s="192"/>
    </row>
    <row r="965" spans="1:9" ht="15.75" x14ac:dyDescent="0.25">
      <c r="A965" s="396" t="s">
        <v>546</v>
      </c>
      <c r="B965" s="390">
        <v>908</v>
      </c>
      <c r="C965" s="392" t="s">
        <v>234</v>
      </c>
      <c r="D965" s="392" t="s">
        <v>215</v>
      </c>
      <c r="E965" s="392" t="s">
        <v>1427</v>
      </c>
      <c r="F965" s="392"/>
      <c r="G965" s="397">
        <f>G966</f>
        <v>365</v>
      </c>
      <c r="H965" s="397">
        <f>H966</f>
        <v>365</v>
      </c>
      <c r="I965" s="192"/>
    </row>
    <row r="966" spans="1:9" ht="31.5" x14ac:dyDescent="0.25">
      <c r="A966" s="396" t="s">
        <v>131</v>
      </c>
      <c r="B966" s="390">
        <v>908</v>
      </c>
      <c r="C966" s="392" t="s">
        <v>234</v>
      </c>
      <c r="D966" s="392" t="s">
        <v>215</v>
      </c>
      <c r="E966" s="392" t="s">
        <v>1427</v>
      </c>
      <c r="F966" s="392" t="s">
        <v>132</v>
      </c>
      <c r="G966" s="397">
        <f>G967</f>
        <v>365</v>
      </c>
      <c r="H966" s="397">
        <f>H967</f>
        <v>365</v>
      </c>
      <c r="I966" s="192"/>
    </row>
    <row r="967" spans="1:9" ht="47.25" x14ac:dyDescent="0.25">
      <c r="A967" s="396" t="s">
        <v>133</v>
      </c>
      <c r="B967" s="390">
        <v>908</v>
      </c>
      <c r="C967" s="392" t="s">
        <v>234</v>
      </c>
      <c r="D967" s="392" t="s">
        <v>215</v>
      </c>
      <c r="E967" s="392" t="s">
        <v>1427</v>
      </c>
      <c r="F967" s="392" t="s">
        <v>134</v>
      </c>
      <c r="G967" s="397">
        <v>365</v>
      </c>
      <c r="H967" s="397">
        <v>365</v>
      </c>
      <c r="I967" s="192"/>
    </row>
    <row r="968" spans="1:9" ht="15.75" x14ac:dyDescent="0.25">
      <c r="A968" s="396" t="s">
        <v>1087</v>
      </c>
      <c r="B968" s="390">
        <v>908</v>
      </c>
      <c r="C968" s="392" t="s">
        <v>234</v>
      </c>
      <c r="D968" s="392" t="s">
        <v>215</v>
      </c>
      <c r="E968" s="392" t="s">
        <v>1417</v>
      </c>
      <c r="F968" s="392"/>
      <c r="G968" s="397">
        <f>G969</f>
        <v>1080</v>
      </c>
      <c r="H968" s="397">
        <f>H969</f>
        <v>1188</v>
      </c>
      <c r="I968" s="192"/>
    </row>
    <row r="969" spans="1:9" ht="31.5" x14ac:dyDescent="0.25">
      <c r="A969" s="396" t="s">
        <v>131</v>
      </c>
      <c r="B969" s="390">
        <v>908</v>
      </c>
      <c r="C969" s="392" t="s">
        <v>234</v>
      </c>
      <c r="D969" s="392" t="s">
        <v>215</v>
      </c>
      <c r="E969" s="392" t="s">
        <v>1417</v>
      </c>
      <c r="F969" s="392" t="s">
        <v>132</v>
      </c>
      <c r="G969" s="397">
        <f>G970</f>
        <v>1080</v>
      </c>
      <c r="H969" s="397">
        <f>H970</f>
        <v>1188</v>
      </c>
      <c r="I969" s="192"/>
    </row>
    <row r="970" spans="1:9" ht="47.25" x14ac:dyDescent="0.25">
      <c r="A970" s="396" t="s">
        <v>133</v>
      </c>
      <c r="B970" s="390">
        <v>908</v>
      </c>
      <c r="C970" s="392" t="s">
        <v>234</v>
      </c>
      <c r="D970" s="392" t="s">
        <v>215</v>
      </c>
      <c r="E970" s="392" t="s">
        <v>1417</v>
      </c>
      <c r="F970" s="392" t="s">
        <v>134</v>
      </c>
      <c r="G970" s="397">
        <v>1080</v>
      </c>
      <c r="H970" s="397">
        <v>1188</v>
      </c>
      <c r="I970" s="192"/>
    </row>
    <row r="971" spans="1:9" ht="15.75" hidden="1" x14ac:dyDescent="0.25">
      <c r="A971" s="396" t="s">
        <v>135</v>
      </c>
      <c r="B971" s="390">
        <v>908</v>
      </c>
      <c r="C971" s="392" t="s">
        <v>234</v>
      </c>
      <c r="D971" s="392" t="s">
        <v>215</v>
      </c>
      <c r="E971" s="392" t="s">
        <v>1417</v>
      </c>
      <c r="F971" s="392" t="s">
        <v>145</v>
      </c>
      <c r="G971" s="397">
        <f>'[1]Пр.5 ведом.21'!G959</f>
        <v>0</v>
      </c>
      <c r="H971" s="397">
        <f t="shared" si="83"/>
        <v>0</v>
      </c>
      <c r="I971" s="192"/>
    </row>
    <row r="972" spans="1:9" ht="47.25" hidden="1" x14ac:dyDescent="0.25">
      <c r="A972" s="396" t="s">
        <v>835</v>
      </c>
      <c r="B972" s="390">
        <v>908</v>
      </c>
      <c r="C972" s="392" t="s">
        <v>234</v>
      </c>
      <c r="D972" s="392" t="s">
        <v>215</v>
      </c>
      <c r="E972" s="392" t="s">
        <v>1417</v>
      </c>
      <c r="F972" s="392" t="s">
        <v>147</v>
      </c>
      <c r="G972" s="397">
        <f>'[1]Пр.5 ведом.21'!G960</f>
        <v>0</v>
      </c>
      <c r="H972" s="397">
        <f t="shared" si="83"/>
        <v>0</v>
      </c>
      <c r="I972" s="192"/>
    </row>
    <row r="973" spans="1:9" ht="15.75" hidden="1" x14ac:dyDescent="0.25">
      <c r="A973" s="396" t="s">
        <v>704</v>
      </c>
      <c r="B973" s="390">
        <v>908</v>
      </c>
      <c r="C973" s="392" t="s">
        <v>234</v>
      </c>
      <c r="D973" s="392" t="s">
        <v>215</v>
      </c>
      <c r="E973" s="392" t="s">
        <v>1417</v>
      </c>
      <c r="F973" s="392" t="s">
        <v>138</v>
      </c>
      <c r="G973" s="397">
        <f>'[1]Пр.5 ведом.21'!G961</f>
        <v>0</v>
      </c>
      <c r="H973" s="397">
        <f t="shared" si="83"/>
        <v>0</v>
      </c>
      <c r="I973" s="192"/>
    </row>
    <row r="974" spans="1:9" ht="15.75" hidden="1" x14ac:dyDescent="0.25">
      <c r="A974" s="396" t="s">
        <v>550</v>
      </c>
      <c r="B974" s="390">
        <v>908</v>
      </c>
      <c r="C974" s="392" t="s">
        <v>234</v>
      </c>
      <c r="D974" s="392" t="s">
        <v>215</v>
      </c>
      <c r="E974" s="392" t="s">
        <v>1296</v>
      </c>
      <c r="F974" s="392"/>
      <c r="G974" s="397">
        <f>G975</f>
        <v>0</v>
      </c>
      <c r="H974" s="397">
        <f>H975</f>
        <v>0</v>
      </c>
      <c r="I974" s="192"/>
    </row>
    <row r="975" spans="1:9" ht="31.5" hidden="1" x14ac:dyDescent="0.25">
      <c r="A975" s="396" t="s">
        <v>131</v>
      </c>
      <c r="B975" s="390">
        <v>908</v>
      </c>
      <c r="C975" s="392" t="s">
        <v>234</v>
      </c>
      <c r="D975" s="392" t="s">
        <v>215</v>
      </c>
      <c r="E975" s="392" t="s">
        <v>1296</v>
      </c>
      <c r="F975" s="392" t="s">
        <v>132</v>
      </c>
      <c r="G975" s="397">
        <f>G976</f>
        <v>0</v>
      </c>
      <c r="H975" s="397">
        <f>H976</f>
        <v>0</v>
      </c>
      <c r="I975" s="192"/>
    </row>
    <row r="976" spans="1:9" ht="47.25" hidden="1" x14ac:dyDescent="0.25">
      <c r="A976" s="396" t="s">
        <v>133</v>
      </c>
      <c r="B976" s="390">
        <v>908</v>
      </c>
      <c r="C976" s="392" t="s">
        <v>234</v>
      </c>
      <c r="D976" s="392" t="s">
        <v>215</v>
      </c>
      <c r="E976" s="392" t="s">
        <v>1296</v>
      </c>
      <c r="F976" s="392" t="s">
        <v>134</v>
      </c>
      <c r="G976" s="397">
        <v>0</v>
      </c>
      <c r="H976" s="397">
        <v>0</v>
      </c>
      <c r="I976" s="192"/>
    </row>
    <row r="977" spans="1:9" ht="15.75" x14ac:dyDescent="0.25">
      <c r="A977" s="396" t="s">
        <v>555</v>
      </c>
      <c r="B977" s="390">
        <v>908</v>
      </c>
      <c r="C977" s="392" t="s">
        <v>234</v>
      </c>
      <c r="D977" s="392" t="s">
        <v>215</v>
      </c>
      <c r="E977" s="392" t="s">
        <v>1273</v>
      </c>
      <c r="F977" s="392"/>
      <c r="G977" s="397">
        <f>G978</f>
        <v>50</v>
      </c>
      <c r="H977" s="397">
        <f>H978</f>
        <v>55</v>
      </c>
      <c r="I977" s="192"/>
    </row>
    <row r="978" spans="1:9" ht="31.5" x14ac:dyDescent="0.25">
      <c r="A978" s="396" t="s">
        <v>131</v>
      </c>
      <c r="B978" s="390">
        <v>908</v>
      </c>
      <c r="C978" s="392" t="s">
        <v>234</v>
      </c>
      <c r="D978" s="392" t="s">
        <v>215</v>
      </c>
      <c r="E978" s="392" t="s">
        <v>1273</v>
      </c>
      <c r="F978" s="392" t="s">
        <v>132</v>
      </c>
      <c r="G978" s="397">
        <f>G979</f>
        <v>50</v>
      </c>
      <c r="H978" s="397">
        <f>H979</f>
        <v>55</v>
      </c>
      <c r="I978" s="192"/>
    </row>
    <row r="979" spans="1:9" ht="47.25" x14ac:dyDescent="0.25">
      <c r="A979" s="396" t="s">
        <v>133</v>
      </c>
      <c r="B979" s="390">
        <v>908</v>
      </c>
      <c r="C979" s="392" t="s">
        <v>234</v>
      </c>
      <c r="D979" s="392" t="s">
        <v>215</v>
      </c>
      <c r="E979" s="392" t="s">
        <v>1273</v>
      </c>
      <c r="F979" s="392" t="s">
        <v>134</v>
      </c>
      <c r="G979" s="397">
        <v>50</v>
      </c>
      <c r="H979" s="397">
        <v>55</v>
      </c>
      <c r="I979" s="192"/>
    </row>
    <row r="980" spans="1:9" ht="31.5" x14ac:dyDescent="0.25">
      <c r="A980" s="287" t="s">
        <v>1430</v>
      </c>
      <c r="B980" s="390">
        <v>908</v>
      </c>
      <c r="C980" s="392" t="s">
        <v>234</v>
      </c>
      <c r="D980" s="392" t="s">
        <v>215</v>
      </c>
      <c r="E980" s="392" t="s">
        <v>1274</v>
      </c>
      <c r="F980" s="392"/>
      <c r="G980" s="397">
        <f>G981+G983</f>
        <v>375</v>
      </c>
      <c r="H980" s="397">
        <f>H981+H983</f>
        <v>375</v>
      </c>
      <c r="I980" s="192"/>
    </row>
    <row r="981" spans="1:9" ht="31.5" x14ac:dyDescent="0.25">
      <c r="A981" s="396" t="s">
        <v>131</v>
      </c>
      <c r="B981" s="390">
        <v>908</v>
      </c>
      <c r="C981" s="392" t="s">
        <v>234</v>
      </c>
      <c r="D981" s="392" t="s">
        <v>215</v>
      </c>
      <c r="E981" s="392" t="s">
        <v>1274</v>
      </c>
      <c r="F981" s="392" t="s">
        <v>132</v>
      </c>
      <c r="G981" s="397">
        <f>G982</f>
        <v>300</v>
      </c>
      <c r="H981" s="397">
        <f>H982</f>
        <v>300</v>
      </c>
      <c r="I981" s="192"/>
    </row>
    <row r="982" spans="1:9" ht="47.25" x14ac:dyDescent="0.25">
      <c r="A982" s="396" t="s">
        <v>133</v>
      </c>
      <c r="B982" s="390">
        <v>908</v>
      </c>
      <c r="C982" s="392" t="s">
        <v>234</v>
      </c>
      <c r="D982" s="392" t="s">
        <v>215</v>
      </c>
      <c r="E982" s="392" t="s">
        <v>1274</v>
      </c>
      <c r="F982" s="392" t="s">
        <v>134</v>
      </c>
      <c r="G982" s="397">
        <f>300</f>
        <v>300</v>
      </c>
      <c r="H982" s="397">
        <v>300</v>
      </c>
      <c r="I982" s="192"/>
    </row>
    <row r="983" spans="1:9" ht="15.75" x14ac:dyDescent="0.25">
      <c r="A983" s="396" t="s">
        <v>135</v>
      </c>
      <c r="B983" s="390">
        <v>908</v>
      </c>
      <c r="C983" s="392" t="s">
        <v>234</v>
      </c>
      <c r="D983" s="392" t="s">
        <v>215</v>
      </c>
      <c r="E983" s="392" t="s">
        <v>1274</v>
      </c>
      <c r="F983" s="392" t="s">
        <v>145</v>
      </c>
      <c r="G983" s="397">
        <f>G984</f>
        <v>75</v>
      </c>
      <c r="H983" s="397">
        <f>H984</f>
        <v>75</v>
      </c>
      <c r="I983" s="192"/>
    </row>
    <row r="984" spans="1:9" ht="15.75" x14ac:dyDescent="0.25">
      <c r="A984" s="396" t="s">
        <v>704</v>
      </c>
      <c r="B984" s="390">
        <v>908</v>
      </c>
      <c r="C984" s="392" t="s">
        <v>234</v>
      </c>
      <c r="D984" s="392" t="s">
        <v>215</v>
      </c>
      <c r="E984" s="392" t="s">
        <v>1274</v>
      </c>
      <c r="F984" s="392" t="s">
        <v>138</v>
      </c>
      <c r="G984" s="397">
        <f>75</f>
        <v>75</v>
      </c>
      <c r="H984" s="397">
        <f t="shared" ref="H984:H1032" si="88">G984</f>
        <v>75</v>
      </c>
      <c r="I984" s="192"/>
    </row>
    <row r="985" spans="1:9" ht="25.5" hidden="1" customHeight="1" x14ac:dyDescent="0.25">
      <c r="A985" s="45" t="s">
        <v>559</v>
      </c>
      <c r="B985" s="390">
        <v>908</v>
      </c>
      <c r="C985" s="392" t="s">
        <v>234</v>
      </c>
      <c r="D985" s="392" t="s">
        <v>215</v>
      </c>
      <c r="E985" s="392" t="s">
        <v>1275</v>
      </c>
      <c r="F985" s="392"/>
      <c r="G985" s="397">
        <f>'[1]Пр.5 ведом.21'!G973</f>
        <v>0</v>
      </c>
      <c r="H985" s="397">
        <f>H986</f>
        <v>130</v>
      </c>
      <c r="I985" s="192"/>
    </row>
    <row r="986" spans="1:9" ht="31.5" hidden="1" x14ac:dyDescent="0.25">
      <c r="A986" s="396" t="s">
        <v>131</v>
      </c>
      <c r="B986" s="390">
        <v>908</v>
      </c>
      <c r="C986" s="392" t="s">
        <v>234</v>
      </c>
      <c r="D986" s="392" t="s">
        <v>215</v>
      </c>
      <c r="E986" s="392" t="s">
        <v>1275</v>
      </c>
      <c r="F986" s="392" t="s">
        <v>132</v>
      </c>
      <c r="G986" s="397">
        <f>'[1]Пр.5 ведом.21'!G974</f>
        <v>0</v>
      </c>
      <c r="H986" s="397">
        <f>H987</f>
        <v>130</v>
      </c>
      <c r="I986" s="192"/>
    </row>
    <row r="987" spans="1:9" ht="47.25" hidden="1" x14ac:dyDescent="0.25">
      <c r="A987" s="396" t="s">
        <v>133</v>
      </c>
      <c r="B987" s="390">
        <v>908</v>
      </c>
      <c r="C987" s="392" t="s">
        <v>234</v>
      </c>
      <c r="D987" s="392" t="s">
        <v>215</v>
      </c>
      <c r="E987" s="392" t="s">
        <v>1275</v>
      </c>
      <c r="F987" s="392" t="s">
        <v>134</v>
      </c>
      <c r="G987" s="397">
        <f>0</f>
        <v>0</v>
      </c>
      <c r="H987" s="397">
        <v>130</v>
      </c>
      <c r="I987" s="192"/>
    </row>
    <row r="988" spans="1:9" ht="31.5" x14ac:dyDescent="0.25">
      <c r="A988" s="213" t="s">
        <v>1089</v>
      </c>
      <c r="B988" s="390">
        <v>908</v>
      </c>
      <c r="C988" s="392" t="s">
        <v>234</v>
      </c>
      <c r="D988" s="392" t="s">
        <v>215</v>
      </c>
      <c r="E988" s="392" t="s">
        <v>1276</v>
      </c>
      <c r="F988" s="392"/>
      <c r="G988" s="397">
        <f>G989</f>
        <v>50</v>
      </c>
      <c r="H988" s="397">
        <f>H989</f>
        <v>60</v>
      </c>
      <c r="I988" s="192"/>
    </row>
    <row r="989" spans="1:9" ht="31.5" x14ac:dyDescent="0.25">
      <c r="A989" s="396" t="s">
        <v>131</v>
      </c>
      <c r="B989" s="390">
        <v>908</v>
      </c>
      <c r="C989" s="392" t="s">
        <v>234</v>
      </c>
      <c r="D989" s="392" t="s">
        <v>215</v>
      </c>
      <c r="E989" s="392" t="s">
        <v>1276</v>
      </c>
      <c r="F989" s="392" t="s">
        <v>132</v>
      </c>
      <c r="G989" s="397">
        <f>G990</f>
        <v>50</v>
      </c>
      <c r="H989" s="397">
        <f>H990</f>
        <v>60</v>
      </c>
      <c r="I989" s="192"/>
    </row>
    <row r="990" spans="1:9" ht="40.15" customHeight="1" x14ac:dyDescent="0.25">
      <c r="A990" s="396" t="s">
        <v>133</v>
      </c>
      <c r="B990" s="390">
        <v>908</v>
      </c>
      <c r="C990" s="392" t="s">
        <v>234</v>
      </c>
      <c r="D990" s="392" t="s">
        <v>215</v>
      </c>
      <c r="E990" s="392" t="s">
        <v>1276</v>
      </c>
      <c r="F990" s="392" t="s">
        <v>134</v>
      </c>
      <c r="G990" s="397">
        <v>50</v>
      </c>
      <c r="H990" s="397">
        <v>60</v>
      </c>
      <c r="I990" s="192"/>
    </row>
    <row r="991" spans="1:9" ht="31.5" hidden="1" x14ac:dyDescent="0.25">
      <c r="A991" s="394" t="s">
        <v>890</v>
      </c>
      <c r="B991" s="391">
        <v>908</v>
      </c>
      <c r="C991" s="395" t="s">
        <v>234</v>
      </c>
      <c r="D991" s="395" t="s">
        <v>215</v>
      </c>
      <c r="E991" s="395" t="s">
        <v>1294</v>
      </c>
      <c r="F991" s="395"/>
      <c r="G991" s="393">
        <f>G992+G995</f>
        <v>0</v>
      </c>
      <c r="H991" s="393">
        <f>H992+H995</f>
        <v>0</v>
      </c>
      <c r="I991" s="192"/>
    </row>
    <row r="992" spans="1:9" ht="31.5" hidden="1" x14ac:dyDescent="0.25">
      <c r="A992" s="396" t="s">
        <v>690</v>
      </c>
      <c r="B992" s="390">
        <v>908</v>
      </c>
      <c r="C992" s="392" t="s">
        <v>234</v>
      </c>
      <c r="D992" s="392" t="s">
        <v>215</v>
      </c>
      <c r="E992" s="392" t="s">
        <v>1325</v>
      </c>
      <c r="F992" s="392"/>
      <c r="G992" s="397">
        <f>'[1]Пр.5 ведом.21'!G980</f>
        <v>0</v>
      </c>
      <c r="H992" s="397">
        <f t="shared" si="88"/>
        <v>0</v>
      </c>
      <c r="I992" s="192"/>
    </row>
    <row r="993" spans="1:9" ht="31.5" hidden="1" x14ac:dyDescent="0.25">
      <c r="A993" s="396" t="s">
        <v>131</v>
      </c>
      <c r="B993" s="390">
        <v>908</v>
      </c>
      <c r="C993" s="392" t="s">
        <v>234</v>
      </c>
      <c r="D993" s="392" t="s">
        <v>215</v>
      </c>
      <c r="E993" s="392" t="s">
        <v>1325</v>
      </c>
      <c r="F993" s="392" t="s">
        <v>132</v>
      </c>
      <c r="G993" s="397">
        <f>'[1]Пр.5 ведом.21'!G981</f>
        <v>0</v>
      </c>
      <c r="H993" s="397">
        <f t="shared" si="88"/>
        <v>0</v>
      </c>
      <c r="I993" s="192"/>
    </row>
    <row r="994" spans="1:9" ht="47.25" hidden="1" x14ac:dyDescent="0.25">
      <c r="A994" s="396" t="s">
        <v>133</v>
      </c>
      <c r="B994" s="390">
        <v>908</v>
      </c>
      <c r="C994" s="392" t="s">
        <v>234</v>
      </c>
      <c r="D994" s="392" t="s">
        <v>215</v>
      </c>
      <c r="E994" s="392" t="s">
        <v>1325</v>
      </c>
      <c r="F994" s="392" t="s">
        <v>134</v>
      </c>
      <c r="G994" s="397">
        <f>'[1]Пр.5 ведом.21'!G982</f>
        <v>0</v>
      </c>
      <c r="H994" s="397">
        <f t="shared" si="88"/>
        <v>0</v>
      </c>
      <c r="I994" s="192"/>
    </row>
    <row r="995" spans="1:9" ht="63" hidden="1" x14ac:dyDescent="0.25">
      <c r="A995" s="396" t="s">
        <v>1071</v>
      </c>
      <c r="B995" s="390">
        <v>908</v>
      </c>
      <c r="C995" s="392" t="s">
        <v>234</v>
      </c>
      <c r="D995" s="392" t="s">
        <v>215</v>
      </c>
      <c r="E995" s="392" t="s">
        <v>1293</v>
      </c>
      <c r="F995" s="392"/>
      <c r="G995" s="397">
        <f>G996</f>
        <v>0</v>
      </c>
      <c r="H995" s="397">
        <f>H996</f>
        <v>0</v>
      </c>
      <c r="I995" s="192"/>
    </row>
    <row r="996" spans="1:9" ht="31.5" hidden="1" x14ac:dyDescent="0.25">
      <c r="A996" s="396" t="s">
        <v>131</v>
      </c>
      <c r="B996" s="390">
        <v>908</v>
      </c>
      <c r="C996" s="392" t="s">
        <v>234</v>
      </c>
      <c r="D996" s="392" t="s">
        <v>215</v>
      </c>
      <c r="E996" s="392" t="s">
        <v>1293</v>
      </c>
      <c r="F996" s="392" t="s">
        <v>132</v>
      </c>
      <c r="G996" s="397">
        <f>G997</f>
        <v>0</v>
      </c>
      <c r="H996" s="397">
        <f>H997</f>
        <v>0</v>
      </c>
      <c r="I996" s="192"/>
    </row>
    <row r="997" spans="1:9" ht="47.25" hidden="1" x14ac:dyDescent="0.25">
      <c r="A997" s="396" t="s">
        <v>133</v>
      </c>
      <c r="B997" s="390">
        <v>908</v>
      </c>
      <c r="C997" s="392" t="s">
        <v>234</v>
      </c>
      <c r="D997" s="392" t="s">
        <v>215</v>
      </c>
      <c r="E997" s="392" t="s">
        <v>1293</v>
      </c>
      <c r="F997" s="392" t="s">
        <v>134</v>
      </c>
      <c r="G997" s="397"/>
      <c r="H997" s="397"/>
      <c r="I997" s="192"/>
    </row>
    <row r="998" spans="1:9" ht="63" x14ac:dyDescent="0.25">
      <c r="A998" s="394" t="s">
        <v>1513</v>
      </c>
      <c r="B998" s="391">
        <v>908</v>
      </c>
      <c r="C998" s="395" t="s">
        <v>234</v>
      </c>
      <c r="D998" s="395" t="s">
        <v>215</v>
      </c>
      <c r="E998" s="395" t="s">
        <v>711</v>
      </c>
      <c r="F998" s="395"/>
      <c r="G998" s="393">
        <f t="shared" ref="G998:H1001" si="89">G999</f>
        <v>500</v>
      </c>
      <c r="H998" s="393">
        <f t="shared" si="89"/>
        <v>500</v>
      </c>
      <c r="I998" s="192"/>
    </row>
    <row r="999" spans="1:9" ht="31.5" x14ac:dyDescent="0.25">
      <c r="A999" s="394" t="s">
        <v>1067</v>
      </c>
      <c r="B999" s="391">
        <v>908</v>
      </c>
      <c r="C999" s="395" t="s">
        <v>234</v>
      </c>
      <c r="D999" s="395" t="s">
        <v>215</v>
      </c>
      <c r="E999" s="395" t="s">
        <v>1088</v>
      </c>
      <c r="F999" s="395"/>
      <c r="G999" s="393">
        <f t="shared" si="89"/>
        <v>500</v>
      </c>
      <c r="H999" s="393">
        <f t="shared" si="89"/>
        <v>500</v>
      </c>
      <c r="I999" s="192"/>
    </row>
    <row r="1000" spans="1:9" ht="47.25" x14ac:dyDescent="0.25">
      <c r="A1000" s="80" t="s">
        <v>693</v>
      </c>
      <c r="B1000" s="390">
        <v>908</v>
      </c>
      <c r="C1000" s="392" t="s">
        <v>234</v>
      </c>
      <c r="D1000" s="392" t="s">
        <v>215</v>
      </c>
      <c r="E1000" s="392" t="s">
        <v>834</v>
      </c>
      <c r="F1000" s="392"/>
      <c r="G1000" s="397">
        <f t="shared" si="89"/>
        <v>500</v>
      </c>
      <c r="H1000" s="397">
        <f t="shared" si="89"/>
        <v>500</v>
      </c>
      <c r="I1000" s="192"/>
    </row>
    <row r="1001" spans="1:9" ht="31.5" x14ac:dyDescent="0.25">
      <c r="A1001" s="396" t="s">
        <v>131</v>
      </c>
      <c r="B1001" s="390">
        <v>908</v>
      </c>
      <c r="C1001" s="392" t="s">
        <v>234</v>
      </c>
      <c r="D1001" s="392" t="s">
        <v>215</v>
      </c>
      <c r="E1001" s="392" t="s">
        <v>834</v>
      </c>
      <c r="F1001" s="392" t="s">
        <v>132</v>
      </c>
      <c r="G1001" s="397">
        <f t="shared" si="89"/>
        <v>500</v>
      </c>
      <c r="H1001" s="397">
        <f t="shared" si="89"/>
        <v>500</v>
      </c>
      <c r="I1001" s="192"/>
    </row>
    <row r="1002" spans="1:9" ht="47.25" x14ac:dyDescent="0.25">
      <c r="A1002" s="396" t="s">
        <v>133</v>
      </c>
      <c r="B1002" s="390">
        <v>908</v>
      </c>
      <c r="C1002" s="392" t="s">
        <v>234</v>
      </c>
      <c r="D1002" s="392" t="s">
        <v>215</v>
      </c>
      <c r="E1002" s="392" t="s">
        <v>834</v>
      </c>
      <c r="F1002" s="392" t="s">
        <v>134</v>
      </c>
      <c r="G1002" s="397">
        <f>500</f>
        <v>500</v>
      </c>
      <c r="H1002" s="397">
        <f t="shared" si="88"/>
        <v>500</v>
      </c>
      <c r="I1002" s="192"/>
    </row>
    <row r="1003" spans="1:9" ht="31.5" x14ac:dyDescent="0.25">
      <c r="A1003" s="394" t="s">
        <v>569</v>
      </c>
      <c r="B1003" s="391">
        <v>908</v>
      </c>
      <c r="C1003" s="395" t="s">
        <v>234</v>
      </c>
      <c r="D1003" s="395" t="s">
        <v>234</v>
      </c>
      <c r="E1003" s="395"/>
      <c r="F1003" s="395"/>
      <c r="G1003" s="393">
        <f>G1004+G1016+G1033</f>
        <v>25304.5</v>
      </c>
      <c r="H1003" s="393">
        <f>H1004+H1016+H1033</f>
        <v>25304.5</v>
      </c>
      <c r="I1003" s="192"/>
    </row>
    <row r="1004" spans="1:9" ht="31.5" x14ac:dyDescent="0.25">
      <c r="A1004" s="394" t="s">
        <v>916</v>
      </c>
      <c r="B1004" s="391">
        <v>908</v>
      </c>
      <c r="C1004" s="395" t="s">
        <v>234</v>
      </c>
      <c r="D1004" s="395" t="s">
        <v>234</v>
      </c>
      <c r="E1004" s="395" t="s">
        <v>857</v>
      </c>
      <c r="F1004" s="395"/>
      <c r="G1004" s="393">
        <f>G1005</f>
        <v>12879.3</v>
      </c>
      <c r="H1004" s="393">
        <f>H1005</f>
        <v>12879.3</v>
      </c>
      <c r="I1004" s="192"/>
    </row>
    <row r="1005" spans="1:9" ht="15.75" x14ac:dyDescent="0.25">
      <c r="A1005" s="394" t="s">
        <v>917</v>
      </c>
      <c r="B1005" s="391">
        <v>908</v>
      </c>
      <c r="C1005" s="395" t="s">
        <v>234</v>
      </c>
      <c r="D1005" s="395" t="s">
        <v>234</v>
      </c>
      <c r="E1005" s="395" t="s">
        <v>858</v>
      </c>
      <c r="F1005" s="395"/>
      <c r="G1005" s="393">
        <f>G1006+G1013</f>
        <v>12879.3</v>
      </c>
      <c r="H1005" s="393">
        <f>H1006+H1013</f>
        <v>12879.3</v>
      </c>
      <c r="I1005" s="192"/>
    </row>
    <row r="1006" spans="1:9" ht="31.5" x14ac:dyDescent="0.25">
      <c r="A1006" s="396" t="s">
        <v>896</v>
      </c>
      <c r="B1006" s="390">
        <v>908</v>
      </c>
      <c r="C1006" s="392" t="s">
        <v>234</v>
      </c>
      <c r="D1006" s="392" t="s">
        <v>234</v>
      </c>
      <c r="E1006" s="392" t="s">
        <v>859</v>
      </c>
      <c r="F1006" s="392"/>
      <c r="G1006" s="397">
        <f>G1007+G1009+G1011</f>
        <v>12511.3</v>
      </c>
      <c r="H1006" s="397">
        <f>H1007+H1009+H1011</f>
        <v>12511.3</v>
      </c>
      <c r="I1006" s="192"/>
    </row>
    <row r="1007" spans="1:9" ht="78.75" x14ac:dyDescent="0.25">
      <c r="A1007" s="396" t="s">
        <v>127</v>
      </c>
      <c r="B1007" s="390">
        <v>908</v>
      </c>
      <c r="C1007" s="392" t="s">
        <v>234</v>
      </c>
      <c r="D1007" s="392" t="s">
        <v>234</v>
      </c>
      <c r="E1007" s="392" t="s">
        <v>859</v>
      </c>
      <c r="F1007" s="392" t="s">
        <v>128</v>
      </c>
      <c r="G1007" s="397">
        <f>G1008</f>
        <v>12439.3</v>
      </c>
      <c r="H1007" s="397">
        <f>H1008</f>
        <v>12439.3</v>
      </c>
      <c r="I1007" s="192"/>
    </row>
    <row r="1008" spans="1:9" ht="31.5" x14ac:dyDescent="0.25">
      <c r="A1008" s="396" t="s">
        <v>129</v>
      </c>
      <c r="B1008" s="390">
        <v>908</v>
      </c>
      <c r="C1008" s="392" t="s">
        <v>234</v>
      </c>
      <c r="D1008" s="392" t="s">
        <v>234</v>
      </c>
      <c r="E1008" s="392" t="s">
        <v>859</v>
      </c>
      <c r="F1008" s="392" t="s">
        <v>130</v>
      </c>
      <c r="G1008" s="397">
        <v>12439.3</v>
      </c>
      <c r="H1008" s="397">
        <f t="shared" si="88"/>
        <v>12439.3</v>
      </c>
      <c r="I1008" s="192"/>
    </row>
    <row r="1009" spans="1:9" ht="31.5" x14ac:dyDescent="0.25">
      <c r="A1009" s="396" t="s">
        <v>131</v>
      </c>
      <c r="B1009" s="390">
        <v>908</v>
      </c>
      <c r="C1009" s="392" t="s">
        <v>234</v>
      </c>
      <c r="D1009" s="392" t="s">
        <v>234</v>
      </c>
      <c r="E1009" s="392" t="s">
        <v>859</v>
      </c>
      <c r="F1009" s="392" t="s">
        <v>132</v>
      </c>
      <c r="G1009" s="397">
        <f>G1010</f>
        <v>25</v>
      </c>
      <c r="H1009" s="397">
        <f>H1010</f>
        <v>25</v>
      </c>
      <c r="I1009" s="192"/>
    </row>
    <row r="1010" spans="1:9" ht="47.25" x14ac:dyDescent="0.25">
      <c r="A1010" s="396" t="s">
        <v>133</v>
      </c>
      <c r="B1010" s="390">
        <v>908</v>
      </c>
      <c r="C1010" s="392" t="s">
        <v>234</v>
      </c>
      <c r="D1010" s="392" t="s">
        <v>234</v>
      </c>
      <c r="E1010" s="392" t="s">
        <v>859</v>
      </c>
      <c r="F1010" s="392" t="s">
        <v>134</v>
      </c>
      <c r="G1010" s="397">
        <f>25</f>
        <v>25</v>
      </c>
      <c r="H1010" s="397">
        <f t="shared" si="88"/>
        <v>25</v>
      </c>
      <c r="I1010" s="192"/>
    </row>
    <row r="1011" spans="1:9" ht="15.75" x14ac:dyDescent="0.25">
      <c r="A1011" s="396" t="s">
        <v>135</v>
      </c>
      <c r="B1011" s="390">
        <v>908</v>
      </c>
      <c r="C1011" s="392" t="s">
        <v>234</v>
      </c>
      <c r="D1011" s="392" t="s">
        <v>234</v>
      </c>
      <c r="E1011" s="392" t="s">
        <v>859</v>
      </c>
      <c r="F1011" s="392" t="s">
        <v>145</v>
      </c>
      <c r="G1011" s="397">
        <f>G1012</f>
        <v>47</v>
      </c>
      <c r="H1011" s="397">
        <f>H1012</f>
        <v>47</v>
      </c>
      <c r="I1011" s="192"/>
    </row>
    <row r="1012" spans="1:9" ht="15.75" x14ac:dyDescent="0.25">
      <c r="A1012" s="396" t="s">
        <v>568</v>
      </c>
      <c r="B1012" s="390">
        <v>908</v>
      </c>
      <c r="C1012" s="392" t="s">
        <v>234</v>
      </c>
      <c r="D1012" s="392" t="s">
        <v>234</v>
      </c>
      <c r="E1012" s="392" t="s">
        <v>859</v>
      </c>
      <c r="F1012" s="392" t="s">
        <v>138</v>
      </c>
      <c r="G1012" s="397">
        <f>47</f>
        <v>47</v>
      </c>
      <c r="H1012" s="397">
        <f t="shared" si="88"/>
        <v>47</v>
      </c>
      <c r="I1012" s="192"/>
    </row>
    <row r="1013" spans="1:9" ht="47.25" x14ac:dyDescent="0.25">
      <c r="A1013" s="396" t="s">
        <v>838</v>
      </c>
      <c r="B1013" s="390">
        <v>908</v>
      </c>
      <c r="C1013" s="392" t="s">
        <v>234</v>
      </c>
      <c r="D1013" s="392" t="s">
        <v>234</v>
      </c>
      <c r="E1013" s="392" t="s">
        <v>861</v>
      </c>
      <c r="F1013" s="392"/>
      <c r="G1013" s="397">
        <f>G1014</f>
        <v>368</v>
      </c>
      <c r="H1013" s="397">
        <f>H1014</f>
        <v>368</v>
      </c>
      <c r="I1013" s="192"/>
    </row>
    <row r="1014" spans="1:9" ht="78.75" x14ac:dyDescent="0.25">
      <c r="A1014" s="396" t="s">
        <v>127</v>
      </c>
      <c r="B1014" s="390">
        <v>908</v>
      </c>
      <c r="C1014" s="392" t="s">
        <v>234</v>
      </c>
      <c r="D1014" s="392" t="s">
        <v>234</v>
      </c>
      <c r="E1014" s="392" t="s">
        <v>861</v>
      </c>
      <c r="F1014" s="392" t="s">
        <v>128</v>
      </c>
      <c r="G1014" s="397">
        <f>G1015</f>
        <v>368</v>
      </c>
      <c r="H1014" s="397">
        <f>H1015</f>
        <v>368</v>
      </c>
      <c r="I1014" s="192"/>
    </row>
    <row r="1015" spans="1:9" ht="31.5" x14ac:dyDescent="0.25">
      <c r="A1015" s="396" t="s">
        <v>129</v>
      </c>
      <c r="B1015" s="390">
        <v>908</v>
      </c>
      <c r="C1015" s="392" t="s">
        <v>234</v>
      </c>
      <c r="D1015" s="392" t="s">
        <v>234</v>
      </c>
      <c r="E1015" s="392" t="s">
        <v>861</v>
      </c>
      <c r="F1015" s="392" t="s">
        <v>130</v>
      </c>
      <c r="G1015" s="397">
        <v>368</v>
      </c>
      <c r="H1015" s="397">
        <f t="shared" si="88"/>
        <v>368</v>
      </c>
      <c r="I1015" s="192"/>
    </row>
    <row r="1016" spans="1:9" ht="15.75" x14ac:dyDescent="0.25">
      <c r="A1016" s="394" t="s">
        <v>141</v>
      </c>
      <c r="B1016" s="391">
        <v>908</v>
      </c>
      <c r="C1016" s="395" t="s">
        <v>234</v>
      </c>
      <c r="D1016" s="395" t="s">
        <v>234</v>
      </c>
      <c r="E1016" s="395" t="s">
        <v>865</v>
      </c>
      <c r="F1016" s="395"/>
      <c r="G1016" s="393">
        <f>G1017+G1024</f>
        <v>12425.2</v>
      </c>
      <c r="H1016" s="393">
        <f>H1017+H1024</f>
        <v>12425.2</v>
      </c>
      <c r="I1016" s="192"/>
    </row>
    <row r="1017" spans="1:9" ht="31.5" x14ac:dyDescent="0.25">
      <c r="A1017" s="394" t="s">
        <v>869</v>
      </c>
      <c r="B1017" s="391">
        <v>908</v>
      </c>
      <c r="C1017" s="395" t="s">
        <v>234</v>
      </c>
      <c r="D1017" s="395" t="s">
        <v>234</v>
      </c>
      <c r="E1017" s="395" t="s">
        <v>864</v>
      </c>
      <c r="F1017" s="395"/>
      <c r="G1017" s="393">
        <f>G1018+G1021</f>
        <v>982</v>
      </c>
      <c r="H1017" s="393">
        <f>H1018+H1021</f>
        <v>982</v>
      </c>
      <c r="I1017" s="192"/>
    </row>
    <row r="1018" spans="1:9" ht="31.5" x14ac:dyDescent="0.25">
      <c r="A1018" s="396" t="s">
        <v>570</v>
      </c>
      <c r="B1018" s="390">
        <v>908</v>
      </c>
      <c r="C1018" s="392" t="s">
        <v>234</v>
      </c>
      <c r="D1018" s="392" t="s">
        <v>234</v>
      </c>
      <c r="E1018" s="392" t="s">
        <v>983</v>
      </c>
      <c r="F1018" s="392"/>
      <c r="G1018" s="397">
        <f>G1019</f>
        <v>982</v>
      </c>
      <c r="H1018" s="397">
        <f>H1019</f>
        <v>982</v>
      </c>
      <c r="I1018" s="192"/>
    </row>
    <row r="1019" spans="1:9" ht="15.75" x14ac:dyDescent="0.25">
      <c r="A1019" s="396" t="s">
        <v>135</v>
      </c>
      <c r="B1019" s="390">
        <v>908</v>
      </c>
      <c r="C1019" s="392" t="s">
        <v>234</v>
      </c>
      <c r="D1019" s="392" t="s">
        <v>234</v>
      </c>
      <c r="E1019" s="392" t="s">
        <v>983</v>
      </c>
      <c r="F1019" s="392" t="s">
        <v>145</v>
      </c>
      <c r="G1019" s="397">
        <f>G1020</f>
        <v>982</v>
      </c>
      <c r="H1019" s="397">
        <f>H1020</f>
        <v>982</v>
      </c>
      <c r="I1019" s="192"/>
    </row>
    <row r="1020" spans="1:9" ht="47.25" x14ac:dyDescent="0.25">
      <c r="A1020" s="396" t="s">
        <v>184</v>
      </c>
      <c r="B1020" s="390">
        <v>908</v>
      </c>
      <c r="C1020" s="392" t="s">
        <v>234</v>
      </c>
      <c r="D1020" s="392" t="s">
        <v>234</v>
      </c>
      <c r="E1020" s="392" t="s">
        <v>983</v>
      </c>
      <c r="F1020" s="392" t="s">
        <v>160</v>
      </c>
      <c r="G1020" s="397">
        <v>982</v>
      </c>
      <c r="H1020" s="397">
        <f t="shared" si="88"/>
        <v>982</v>
      </c>
      <c r="I1020" s="192"/>
    </row>
    <row r="1021" spans="1:9" ht="31.5" hidden="1" x14ac:dyDescent="0.25">
      <c r="A1021" s="396" t="s">
        <v>822</v>
      </c>
      <c r="B1021" s="390">
        <v>908</v>
      </c>
      <c r="C1021" s="392" t="s">
        <v>234</v>
      </c>
      <c r="D1021" s="392" t="s">
        <v>234</v>
      </c>
      <c r="E1021" s="392" t="s">
        <v>1072</v>
      </c>
      <c r="F1021" s="392"/>
      <c r="G1021" s="397">
        <f>'[1]Пр.5 ведом.21'!G1011</f>
        <v>0</v>
      </c>
      <c r="H1021" s="397">
        <f t="shared" si="88"/>
        <v>0</v>
      </c>
      <c r="I1021" s="192"/>
    </row>
    <row r="1022" spans="1:9" ht="15.75" hidden="1" x14ac:dyDescent="0.25">
      <c r="A1022" s="396" t="s">
        <v>135</v>
      </c>
      <c r="B1022" s="390">
        <v>908</v>
      </c>
      <c r="C1022" s="392" t="s">
        <v>234</v>
      </c>
      <c r="D1022" s="392" t="s">
        <v>234</v>
      </c>
      <c r="E1022" s="392" t="s">
        <v>1072</v>
      </c>
      <c r="F1022" s="392" t="s">
        <v>145</v>
      </c>
      <c r="G1022" s="397">
        <f>'[1]Пр.5 ведом.21'!G1012</f>
        <v>0</v>
      </c>
      <c r="H1022" s="397">
        <f t="shared" si="88"/>
        <v>0</v>
      </c>
      <c r="I1022" s="192"/>
    </row>
    <row r="1023" spans="1:9" ht="47.25" hidden="1" x14ac:dyDescent="0.25">
      <c r="A1023" s="396" t="s">
        <v>184</v>
      </c>
      <c r="B1023" s="390">
        <v>908</v>
      </c>
      <c r="C1023" s="392" t="s">
        <v>234</v>
      </c>
      <c r="D1023" s="392" t="s">
        <v>234</v>
      </c>
      <c r="E1023" s="392" t="s">
        <v>1072</v>
      </c>
      <c r="F1023" s="392" t="s">
        <v>160</v>
      </c>
      <c r="G1023" s="397">
        <f>'[1]Пр.5 ведом.21'!G1013</f>
        <v>0</v>
      </c>
      <c r="H1023" s="397">
        <f t="shared" si="88"/>
        <v>0</v>
      </c>
      <c r="I1023" s="192"/>
    </row>
    <row r="1024" spans="1:9" ht="31.5" x14ac:dyDescent="0.25">
      <c r="A1024" s="394" t="s">
        <v>928</v>
      </c>
      <c r="B1024" s="391">
        <v>908</v>
      </c>
      <c r="C1024" s="395" t="s">
        <v>234</v>
      </c>
      <c r="D1024" s="395" t="s">
        <v>234</v>
      </c>
      <c r="E1024" s="395" t="s">
        <v>913</v>
      </c>
      <c r="F1024" s="395"/>
      <c r="G1024" s="44">
        <f>G1025+G1030</f>
        <v>11443.2</v>
      </c>
      <c r="H1024" s="44">
        <f>H1025+H1030</f>
        <v>11443.2</v>
      </c>
      <c r="I1024" s="192"/>
    </row>
    <row r="1025" spans="1:9" ht="31.5" x14ac:dyDescent="0.25">
      <c r="A1025" s="396" t="s">
        <v>902</v>
      </c>
      <c r="B1025" s="390">
        <v>908</v>
      </c>
      <c r="C1025" s="392" t="s">
        <v>234</v>
      </c>
      <c r="D1025" s="392" t="s">
        <v>234</v>
      </c>
      <c r="E1025" s="392" t="s">
        <v>914</v>
      </c>
      <c r="F1025" s="392"/>
      <c r="G1025" s="397">
        <f>G1026+G1028</f>
        <v>10845.2</v>
      </c>
      <c r="H1025" s="397">
        <f>H1026+H1028</f>
        <v>10845.2</v>
      </c>
      <c r="I1025" s="192"/>
    </row>
    <row r="1026" spans="1:9" ht="78.75" x14ac:dyDescent="0.25">
      <c r="A1026" s="396" t="s">
        <v>127</v>
      </c>
      <c r="B1026" s="390">
        <v>908</v>
      </c>
      <c r="C1026" s="392" t="s">
        <v>234</v>
      </c>
      <c r="D1026" s="392" t="s">
        <v>234</v>
      </c>
      <c r="E1026" s="392" t="s">
        <v>914</v>
      </c>
      <c r="F1026" s="392" t="s">
        <v>128</v>
      </c>
      <c r="G1026" s="397">
        <f>G1027</f>
        <v>9193</v>
      </c>
      <c r="H1026" s="397">
        <f>H1027</f>
        <v>9193</v>
      </c>
      <c r="I1026" s="192"/>
    </row>
    <row r="1027" spans="1:9" ht="31.5" x14ac:dyDescent="0.25">
      <c r="A1027" s="396" t="s">
        <v>342</v>
      </c>
      <c r="B1027" s="390">
        <v>908</v>
      </c>
      <c r="C1027" s="392" t="s">
        <v>234</v>
      </c>
      <c r="D1027" s="392" t="s">
        <v>234</v>
      </c>
      <c r="E1027" s="392" t="s">
        <v>914</v>
      </c>
      <c r="F1027" s="392" t="s">
        <v>209</v>
      </c>
      <c r="G1027" s="397">
        <v>9193</v>
      </c>
      <c r="H1027" s="397">
        <f t="shared" si="88"/>
        <v>9193</v>
      </c>
      <c r="I1027" s="192"/>
    </row>
    <row r="1028" spans="1:9" ht="31.5" x14ac:dyDescent="0.25">
      <c r="A1028" s="396" t="s">
        <v>131</v>
      </c>
      <c r="B1028" s="390">
        <v>908</v>
      </c>
      <c r="C1028" s="392" t="s">
        <v>234</v>
      </c>
      <c r="D1028" s="392" t="s">
        <v>234</v>
      </c>
      <c r="E1028" s="392" t="s">
        <v>914</v>
      </c>
      <c r="F1028" s="392" t="s">
        <v>132</v>
      </c>
      <c r="G1028" s="397">
        <f>G1029</f>
        <v>1652.2</v>
      </c>
      <c r="H1028" s="397">
        <f>H1029</f>
        <v>1652.2</v>
      </c>
      <c r="I1028" s="192"/>
    </row>
    <row r="1029" spans="1:9" ht="47.25" x14ac:dyDescent="0.25">
      <c r="A1029" s="396" t="s">
        <v>133</v>
      </c>
      <c r="B1029" s="390">
        <v>908</v>
      </c>
      <c r="C1029" s="392" t="s">
        <v>234</v>
      </c>
      <c r="D1029" s="392" t="s">
        <v>234</v>
      </c>
      <c r="E1029" s="392" t="s">
        <v>914</v>
      </c>
      <c r="F1029" s="392" t="s">
        <v>134</v>
      </c>
      <c r="G1029" s="397">
        <v>1652.2</v>
      </c>
      <c r="H1029" s="397">
        <f t="shared" si="88"/>
        <v>1652.2</v>
      </c>
      <c r="I1029" s="192"/>
    </row>
    <row r="1030" spans="1:9" ht="47.25" x14ac:dyDescent="0.25">
      <c r="A1030" s="396" t="s">
        <v>838</v>
      </c>
      <c r="B1030" s="390">
        <v>908</v>
      </c>
      <c r="C1030" s="392" t="s">
        <v>234</v>
      </c>
      <c r="D1030" s="392" t="s">
        <v>234</v>
      </c>
      <c r="E1030" s="392" t="s">
        <v>915</v>
      </c>
      <c r="F1030" s="392"/>
      <c r="G1030" s="397">
        <f>G1031</f>
        <v>598</v>
      </c>
      <c r="H1030" s="397">
        <f>H1031</f>
        <v>598</v>
      </c>
      <c r="I1030" s="192"/>
    </row>
    <row r="1031" spans="1:9" ht="78.75" x14ac:dyDescent="0.25">
      <c r="A1031" s="396" t="s">
        <v>127</v>
      </c>
      <c r="B1031" s="390">
        <v>908</v>
      </c>
      <c r="C1031" s="392" t="s">
        <v>234</v>
      </c>
      <c r="D1031" s="392" t="s">
        <v>234</v>
      </c>
      <c r="E1031" s="392" t="s">
        <v>915</v>
      </c>
      <c r="F1031" s="392" t="s">
        <v>128</v>
      </c>
      <c r="G1031" s="397">
        <f>G1032</f>
        <v>598</v>
      </c>
      <c r="H1031" s="397">
        <f>H1032</f>
        <v>598</v>
      </c>
      <c r="I1031" s="192"/>
    </row>
    <row r="1032" spans="1:9" ht="23.25" customHeight="1" x14ac:dyDescent="0.25">
      <c r="A1032" s="396" t="s">
        <v>342</v>
      </c>
      <c r="B1032" s="390">
        <v>908</v>
      </c>
      <c r="C1032" s="392" t="s">
        <v>234</v>
      </c>
      <c r="D1032" s="392" t="s">
        <v>234</v>
      </c>
      <c r="E1032" s="392" t="s">
        <v>915</v>
      </c>
      <c r="F1032" s="392" t="s">
        <v>209</v>
      </c>
      <c r="G1032" s="397">
        <v>598</v>
      </c>
      <c r="H1032" s="397">
        <f t="shared" si="88"/>
        <v>598</v>
      </c>
      <c r="I1032" s="192"/>
    </row>
    <row r="1033" spans="1:9" ht="47.25" hidden="1" x14ac:dyDescent="0.25">
      <c r="A1033" s="34" t="s">
        <v>1356</v>
      </c>
      <c r="B1033" s="391">
        <v>908</v>
      </c>
      <c r="C1033" s="395" t="s">
        <v>234</v>
      </c>
      <c r="D1033" s="395" t="s">
        <v>234</v>
      </c>
      <c r="E1033" s="395" t="s">
        <v>324</v>
      </c>
      <c r="F1033" s="395"/>
      <c r="G1033" s="393">
        <f t="shared" ref="G1033:H1036" si="90">G1034</f>
        <v>0</v>
      </c>
      <c r="H1033" s="393">
        <f t="shared" si="90"/>
        <v>0</v>
      </c>
      <c r="I1033" s="192"/>
    </row>
    <row r="1034" spans="1:9" ht="63" hidden="1" x14ac:dyDescent="0.25">
      <c r="A1034" s="34" t="s">
        <v>1008</v>
      </c>
      <c r="B1034" s="391">
        <v>908</v>
      </c>
      <c r="C1034" s="395" t="s">
        <v>234</v>
      </c>
      <c r="D1034" s="395" t="s">
        <v>234</v>
      </c>
      <c r="E1034" s="395" t="s">
        <v>933</v>
      </c>
      <c r="F1034" s="395"/>
      <c r="G1034" s="393">
        <f t="shared" si="90"/>
        <v>0</v>
      </c>
      <c r="H1034" s="393">
        <f t="shared" si="90"/>
        <v>0</v>
      </c>
      <c r="I1034" s="192"/>
    </row>
    <row r="1035" spans="1:9" ht="47.25" hidden="1" x14ac:dyDescent="0.25">
      <c r="A1035" s="31" t="s">
        <v>1081</v>
      </c>
      <c r="B1035" s="390">
        <v>908</v>
      </c>
      <c r="C1035" s="392" t="s">
        <v>234</v>
      </c>
      <c r="D1035" s="392" t="s">
        <v>234</v>
      </c>
      <c r="E1035" s="392" t="s">
        <v>1025</v>
      </c>
      <c r="F1035" s="392"/>
      <c r="G1035" s="397">
        <f t="shared" si="90"/>
        <v>0</v>
      </c>
      <c r="H1035" s="397">
        <f t="shared" si="90"/>
        <v>0</v>
      </c>
      <c r="I1035" s="192"/>
    </row>
    <row r="1036" spans="1:9" ht="31.5" hidden="1" x14ac:dyDescent="0.25">
      <c r="A1036" s="396" t="s">
        <v>131</v>
      </c>
      <c r="B1036" s="390">
        <v>908</v>
      </c>
      <c r="C1036" s="392" t="s">
        <v>234</v>
      </c>
      <c r="D1036" s="392" t="s">
        <v>234</v>
      </c>
      <c r="E1036" s="392" t="s">
        <v>1025</v>
      </c>
      <c r="F1036" s="392" t="s">
        <v>132</v>
      </c>
      <c r="G1036" s="397">
        <f t="shared" si="90"/>
        <v>0</v>
      </c>
      <c r="H1036" s="397">
        <f t="shared" si="90"/>
        <v>0</v>
      </c>
      <c r="I1036" s="192"/>
    </row>
    <row r="1037" spans="1:9" ht="47.25" hidden="1" x14ac:dyDescent="0.25">
      <c r="A1037" s="396" t="s">
        <v>133</v>
      </c>
      <c r="B1037" s="390">
        <v>908</v>
      </c>
      <c r="C1037" s="392" t="s">
        <v>234</v>
      </c>
      <c r="D1037" s="392" t="s">
        <v>234</v>
      </c>
      <c r="E1037" s="392" t="s">
        <v>1025</v>
      </c>
      <c r="F1037" s="392" t="s">
        <v>134</v>
      </c>
      <c r="G1037" s="397">
        <v>0</v>
      </c>
      <c r="H1037" s="397">
        <v>0</v>
      </c>
      <c r="I1037" s="192"/>
    </row>
    <row r="1038" spans="1:9" ht="15.75" x14ac:dyDescent="0.25">
      <c r="A1038" s="394" t="s">
        <v>243</v>
      </c>
      <c r="B1038" s="391">
        <v>908</v>
      </c>
      <c r="C1038" s="395" t="s">
        <v>244</v>
      </c>
      <c r="D1038" s="395"/>
      <c r="E1038" s="395"/>
      <c r="F1038" s="395"/>
      <c r="G1038" s="393">
        <f t="shared" ref="G1038:H1042" si="91">G1039</f>
        <v>87</v>
      </c>
      <c r="H1038" s="393">
        <f t="shared" si="91"/>
        <v>87</v>
      </c>
      <c r="I1038" s="192"/>
    </row>
    <row r="1039" spans="1:9" ht="15.75" x14ac:dyDescent="0.25">
      <c r="A1039" s="394" t="s">
        <v>258</v>
      </c>
      <c r="B1039" s="391">
        <v>908</v>
      </c>
      <c r="C1039" s="395" t="s">
        <v>244</v>
      </c>
      <c r="D1039" s="395" t="s">
        <v>120</v>
      </c>
      <c r="E1039" s="395"/>
      <c r="F1039" s="395"/>
      <c r="G1039" s="393">
        <f t="shared" si="91"/>
        <v>87</v>
      </c>
      <c r="H1039" s="393">
        <f t="shared" si="91"/>
        <v>87</v>
      </c>
      <c r="I1039" s="192"/>
    </row>
    <row r="1040" spans="1:9" ht="15.75" x14ac:dyDescent="0.25">
      <c r="A1040" s="394" t="s">
        <v>141</v>
      </c>
      <c r="B1040" s="391">
        <v>908</v>
      </c>
      <c r="C1040" s="395" t="s">
        <v>244</v>
      </c>
      <c r="D1040" s="395" t="s">
        <v>120</v>
      </c>
      <c r="E1040" s="395" t="s">
        <v>865</v>
      </c>
      <c r="F1040" s="395"/>
      <c r="G1040" s="393">
        <f t="shared" si="91"/>
        <v>87</v>
      </c>
      <c r="H1040" s="393">
        <f t="shared" si="91"/>
        <v>87</v>
      </c>
      <c r="I1040" s="192"/>
    </row>
    <row r="1041" spans="1:9" ht="15.75" x14ac:dyDescent="0.25">
      <c r="A1041" s="394" t="s">
        <v>141</v>
      </c>
      <c r="B1041" s="391">
        <v>908</v>
      </c>
      <c r="C1041" s="395" t="s">
        <v>244</v>
      </c>
      <c r="D1041" s="395" t="s">
        <v>120</v>
      </c>
      <c r="E1041" s="395" t="s">
        <v>864</v>
      </c>
      <c r="F1041" s="395"/>
      <c r="G1041" s="393">
        <f t="shared" si="91"/>
        <v>87</v>
      </c>
      <c r="H1041" s="393">
        <f t="shared" si="91"/>
        <v>87</v>
      </c>
      <c r="I1041" s="192"/>
    </row>
    <row r="1042" spans="1:9" ht="31.5" x14ac:dyDescent="0.25">
      <c r="A1042" s="394" t="s">
        <v>869</v>
      </c>
      <c r="B1042" s="391">
        <v>908</v>
      </c>
      <c r="C1042" s="395" t="s">
        <v>244</v>
      </c>
      <c r="D1042" s="395" t="s">
        <v>120</v>
      </c>
      <c r="E1042" s="395" t="s">
        <v>864</v>
      </c>
      <c r="F1042" s="395"/>
      <c r="G1042" s="393">
        <f t="shared" si="91"/>
        <v>87</v>
      </c>
      <c r="H1042" s="393">
        <f t="shared" si="91"/>
        <v>87</v>
      </c>
      <c r="I1042" s="192"/>
    </row>
    <row r="1043" spans="1:9" ht="15.75" x14ac:dyDescent="0.25">
      <c r="A1043" s="396" t="s">
        <v>572</v>
      </c>
      <c r="B1043" s="390">
        <v>908</v>
      </c>
      <c r="C1043" s="392" t="s">
        <v>244</v>
      </c>
      <c r="D1043" s="392" t="s">
        <v>120</v>
      </c>
      <c r="E1043" s="392" t="s">
        <v>984</v>
      </c>
      <c r="F1043" s="392"/>
      <c r="G1043" s="397">
        <f>G1044</f>
        <v>87</v>
      </c>
      <c r="H1043" s="397">
        <f>H1044</f>
        <v>87</v>
      </c>
      <c r="I1043" s="192"/>
    </row>
    <row r="1044" spans="1:9" ht="31.5" x14ac:dyDescent="0.25">
      <c r="A1044" s="396" t="s">
        <v>131</v>
      </c>
      <c r="B1044" s="390">
        <v>908</v>
      </c>
      <c r="C1044" s="392" t="s">
        <v>244</v>
      </c>
      <c r="D1044" s="392" t="s">
        <v>120</v>
      </c>
      <c r="E1044" s="392" t="s">
        <v>984</v>
      </c>
      <c r="F1044" s="392" t="s">
        <v>132</v>
      </c>
      <c r="G1044" s="397">
        <f>G1045</f>
        <v>87</v>
      </c>
      <c r="H1044" s="397">
        <f>H1045</f>
        <v>87</v>
      </c>
      <c r="I1044" s="192"/>
    </row>
    <row r="1045" spans="1:9" ht="47.25" x14ac:dyDescent="0.25">
      <c r="A1045" s="396" t="s">
        <v>133</v>
      </c>
      <c r="B1045" s="390">
        <v>908</v>
      </c>
      <c r="C1045" s="392" t="s">
        <v>244</v>
      </c>
      <c r="D1045" s="392" t="s">
        <v>120</v>
      </c>
      <c r="E1045" s="392" t="s">
        <v>984</v>
      </c>
      <c r="F1045" s="392" t="s">
        <v>134</v>
      </c>
      <c r="G1045" s="397">
        <f>87</f>
        <v>87</v>
      </c>
      <c r="H1045" s="397">
        <f t="shared" ref="H1045:H1093" si="92">G1045</f>
        <v>87</v>
      </c>
      <c r="I1045" s="192"/>
    </row>
    <row r="1046" spans="1:9" ht="31.5" x14ac:dyDescent="0.25">
      <c r="A1046" s="391" t="s">
        <v>1370</v>
      </c>
      <c r="B1046" s="391">
        <v>910</v>
      </c>
      <c r="C1046" s="47"/>
      <c r="D1046" s="47"/>
      <c r="E1046" s="47"/>
      <c r="F1046" s="47"/>
      <c r="G1046" s="393">
        <f>G1047</f>
        <v>7286.5</v>
      </c>
      <c r="H1046" s="393">
        <f>H1047</f>
        <v>7286.5</v>
      </c>
      <c r="I1046" s="192"/>
    </row>
    <row r="1047" spans="1:9" ht="15.75" x14ac:dyDescent="0.25">
      <c r="A1047" s="394" t="s">
        <v>117</v>
      </c>
      <c r="B1047" s="391">
        <v>910</v>
      </c>
      <c r="C1047" s="395" t="s">
        <v>118</v>
      </c>
      <c r="D1047" s="395"/>
      <c r="E1047" s="395"/>
      <c r="F1047" s="395"/>
      <c r="G1047" s="393">
        <f>G1048+G1067+G1083</f>
        <v>7286.5</v>
      </c>
      <c r="H1047" s="393">
        <f>H1048+H1067+H1083</f>
        <v>7286.5</v>
      </c>
      <c r="I1047" s="192"/>
    </row>
    <row r="1048" spans="1:9" ht="47.25" hidden="1" x14ac:dyDescent="0.25">
      <c r="A1048" s="394" t="s">
        <v>575</v>
      </c>
      <c r="B1048" s="391">
        <v>910</v>
      </c>
      <c r="C1048" s="395" t="s">
        <v>118</v>
      </c>
      <c r="D1048" s="395" t="s">
        <v>213</v>
      </c>
      <c r="E1048" s="395"/>
      <c r="F1048" s="395"/>
      <c r="G1048" s="393">
        <f>G1049+G1059</f>
        <v>0</v>
      </c>
      <c r="H1048" s="393">
        <f>H1049+H1059</f>
        <v>0</v>
      </c>
      <c r="I1048" s="192"/>
    </row>
    <row r="1049" spans="1:9" ht="31.5" hidden="1" x14ac:dyDescent="0.25">
      <c r="A1049" s="394" t="s">
        <v>916</v>
      </c>
      <c r="B1049" s="391">
        <v>910</v>
      </c>
      <c r="C1049" s="395" t="s">
        <v>118</v>
      </c>
      <c r="D1049" s="395" t="s">
        <v>213</v>
      </c>
      <c r="E1049" s="395" t="s">
        <v>857</v>
      </c>
      <c r="F1049" s="395"/>
      <c r="G1049" s="393">
        <f>G1050</f>
        <v>0</v>
      </c>
      <c r="H1049" s="393">
        <f>H1050</f>
        <v>0</v>
      </c>
      <c r="I1049" s="192"/>
    </row>
    <row r="1050" spans="1:9" ht="31.5" hidden="1" x14ac:dyDescent="0.25">
      <c r="A1050" s="394" t="s">
        <v>985</v>
      </c>
      <c r="B1050" s="391">
        <v>910</v>
      </c>
      <c r="C1050" s="395" t="s">
        <v>118</v>
      </c>
      <c r="D1050" s="395" t="s">
        <v>213</v>
      </c>
      <c r="E1050" s="395" t="s">
        <v>986</v>
      </c>
      <c r="F1050" s="395"/>
      <c r="G1050" s="393">
        <f>G1051+G1056</f>
        <v>0</v>
      </c>
      <c r="H1050" s="393">
        <f>H1051+H1056</f>
        <v>0</v>
      </c>
      <c r="I1050" s="192"/>
    </row>
    <row r="1051" spans="1:9" ht="31.5" hidden="1" x14ac:dyDescent="0.25">
      <c r="A1051" s="396" t="s">
        <v>576</v>
      </c>
      <c r="B1051" s="390">
        <v>910</v>
      </c>
      <c r="C1051" s="392" t="s">
        <v>118</v>
      </c>
      <c r="D1051" s="392" t="s">
        <v>213</v>
      </c>
      <c r="E1051" s="392" t="s">
        <v>987</v>
      </c>
      <c r="F1051" s="392"/>
      <c r="G1051" s="397">
        <f>G1052+G1054</f>
        <v>0</v>
      </c>
      <c r="H1051" s="397">
        <f>H1052+H1054</f>
        <v>0</v>
      </c>
      <c r="I1051" s="192"/>
    </row>
    <row r="1052" spans="1:9" ht="78.75" hidden="1" x14ac:dyDescent="0.25">
      <c r="A1052" s="396" t="s">
        <v>127</v>
      </c>
      <c r="B1052" s="390">
        <v>910</v>
      </c>
      <c r="C1052" s="392" t="s">
        <v>118</v>
      </c>
      <c r="D1052" s="392" t="s">
        <v>213</v>
      </c>
      <c r="E1052" s="392" t="s">
        <v>987</v>
      </c>
      <c r="F1052" s="392" t="s">
        <v>128</v>
      </c>
      <c r="G1052" s="397">
        <f>G1053</f>
        <v>0</v>
      </c>
      <c r="H1052" s="397">
        <f>H1053</f>
        <v>0</v>
      </c>
      <c r="I1052" s="192"/>
    </row>
    <row r="1053" spans="1:9" ht="31.5" hidden="1" x14ac:dyDescent="0.25">
      <c r="A1053" s="396" t="s">
        <v>129</v>
      </c>
      <c r="B1053" s="390">
        <v>910</v>
      </c>
      <c r="C1053" s="392" t="s">
        <v>118</v>
      </c>
      <c r="D1053" s="392" t="s">
        <v>213</v>
      </c>
      <c r="E1053" s="392" t="s">
        <v>987</v>
      </c>
      <c r="F1053" s="392" t="s">
        <v>130</v>
      </c>
      <c r="G1053" s="397">
        <v>0</v>
      </c>
      <c r="H1053" s="397">
        <v>0</v>
      </c>
      <c r="I1053" s="192"/>
    </row>
    <row r="1054" spans="1:9" ht="31.5" hidden="1" x14ac:dyDescent="0.25">
      <c r="A1054" s="396" t="s">
        <v>198</v>
      </c>
      <c r="B1054" s="390">
        <v>910</v>
      </c>
      <c r="C1054" s="392" t="s">
        <v>118</v>
      </c>
      <c r="D1054" s="392" t="s">
        <v>213</v>
      </c>
      <c r="E1054" s="392" t="s">
        <v>987</v>
      </c>
      <c r="F1054" s="392" t="s">
        <v>132</v>
      </c>
      <c r="G1054" s="397">
        <f>G1055</f>
        <v>0</v>
      </c>
      <c r="H1054" s="397">
        <f>H1055</f>
        <v>0</v>
      </c>
      <c r="I1054" s="192"/>
    </row>
    <row r="1055" spans="1:9" ht="47.25" hidden="1" x14ac:dyDescent="0.25">
      <c r="A1055" s="396" t="s">
        <v>133</v>
      </c>
      <c r="B1055" s="390">
        <v>910</v>
      </c>
      <c r="C1055" s="392" t="s">
        <v>118</v>
      </c>
      <c r="D1055" s="392" t="s">
        <v>213</v>
      </c>
      <c r="E1055" s="392" t="s">
        <v>987</v>
      </c>
      <c r="F1055" s="392" t="s">
        <v>134</v>
      </c>
      <c r="G1055" s="397">
        <v>0</v>
      </c>
      <c r="H1055" s="397">
        <v>0</v>
      </c>
      <c r="I1055" s="192"/>
    </row>
    <row r="1056" spans="1:9" ht="47.25" hidden="1" x14ac:dyDescent="0.25">
      <c r="A1056" s="396" t="s">
        <v>838</v>
      </c>
      <c r="B1056" s="390">
        <v>910</v>
      </c>
      <c r="C1056" s="392" t="s">
        <v>118</v>
      </c>
      <c r="D1056" s="392" t="s">
        <v>213</v>
      </c>
      <c r="E1056" s="392" t="s">
        <v>988</v>
      </c>
      <c r="F1056" s="392"/>
      <c r="G1056" s="397">
        <f>G1057</f>
        <v>0</v>
      </c>
      <c r="H1056" s="397">
        <f>H1057</f>
        <v>0</v>
      </c>
      <c r="I1056" s="192"/>
    </row>
    <row r="1057" spans="1:9" ht="78.75" hidden="1" x14ac:dyDescent="0.25">
      <c r="A1057" s="396" t="s">
        <v>127</v>
      </c>
      <c r="B1057" s="390">
        <v>910</v>
      </c>
      <c r="C1057" s="392" t="s">
        <v>118</v>
      </c>
      <c r="D1057" s="392" t="s">
        <v>213</v>
      </c>
      <c r="E1057" s="392" t="s">
        <v>988</v>
      </c>
      <c r="F1057" s="392" t="s">
        <v>128</v>
      </c>
      <c r="G1057" s="397">
        <f>G1058</f>
        <v>0</v>
      </c>
      <c r="H1057" s="397">
        <f>H1058</f>
        <v>0</v>
      </c>
      <c r="I1057" s="192"/>
    </row>
    <row r="1058" spans="1:9" ht="31.5" hidden="1" x14ac:dyDescent="0.25">
      <c r="A1058" s="396" t="s">
        <v>129</v>
      </c>
      <c r="B1058" s="390">
        <v>910</v>
      </c>
      <c r="C1058" s="392" t="s">
        <v>118</v>
      </c>
      <c r="D1058" s="392" t="s">
        <v>213</v>
      </c>
      <c r="E1058" s="392" t="s">
        <v>988</v>
      </c>
      <c r="F1058" s="392" t="s">
        <v>130</v>
      </c>
      <c r="G1058" s="397">
        <v>0</v>
      </c>
      <c r="H1058" s="397">
        <v>0</v>
      </c>
      <c r="I1058" s="192"/>
    </row>
    <row r="1059" spans="1:9" ht="47.25" hidden="1" x14ac:dyDescent="0.25">
      <c r="A1059" s="394" t="s">
        <v>1176</v>
      </c>
      <c r="B1059" s="391">
        <v>910</v>
      </c>
      <c r="C1059" s="395" t="s">
        <v>118</v>
      </c>
      <c r="D1059" s="395" t="s">
        <v>213</v>
      </c>
      <c r="E1059" s="395" t="s">
        <v>162</v>
      </c>
      <c r="F1059" s="395"/>
      <c r="G1059" s="393">
        <f>G1060</f>
        <v>0</v>
      </c>
      <c r="H1059" s="393">
        <f>H1060</f>
        <v>0</v>
      </c>
      <c r="I1059" s="192"/>
    </row>
    <row r="1060" spans="1:9" ht="63" hidden="1" x14ac:dyDescent="0.25">
      <c r="A1060" s="204" t="s">
        <v>842</v>
      </c>
      <c r="B1060" s="391">
        <v>910</v>
      </c>
      <c r="C1060" s="395" t="s">
        <v>118</v>
      </c>
      <c r="D1060" s="395" t="s">
        <v>213</v>
      </c>
      <c r="E1060" s="395" t="s">
        <v>849</v>
      </c>
      <c r="F1060" s="395"/>
      <c r="G1060" s="393">
        <f>G1061+G1064</f>
        <v>0</v>
      </c>
      <c r="H1060" s="393">
        <f>H1061+H1064</f>
        <v>0</v>
      </c>
      <c r="I1060" s="192"/>
    </row>
    <row r="1061" spans="1:9" ht="47.25" hidden="1" x14ac:dyDescent="0.25">
      <c r="A1061" s="31" t="s">
        <v>695</v>
      </c>
      <c r="B1061" s="390">
        <v>910</v>
      </c>
      <c r="C1061" s="392" t="s">
        <v>118</v>
      </c>
      <c r="D1061" s="392" t="s">
        <v>213</v>
      </c>
      <c r="E1061" s="399" t="s">
        <v>992</v>
      </c>
      <c r="F1061" s="392"/>
      <c r="G1061" s="397">
        <f>G1062</f>
        <v>0</v>
      </c>
      <c r="H1061" s="397">
        <f>H1062</f>
        <v>0</v>
      </c>
      <c r="I1061" s="192"/>
    </row>
    <row r="1062" spans="1:9" ht="31.5" hidden="1" x14ac:dyDescent="0.25">
      <c r="A1062" s="396" t="s">
        <v>131</v>
      </c>
      <c r="B1062" s="390">
        <v>910</v>
      </c>
      <c r="C1062" s="392" t="s">
        <v>118</v>
      </c>
      <c r="D1062" s="392" t="s">
        <v>213</v>
      </c>
      <c r="E1062" s="399" t="s">
        <v>992</v>
      </c>
      <c r="F1062" s="392" t="s">
        <v>132</v>
      </c>
      <c r="G1062" s="397">
        <f>G1063</f>
        <v>0</v>
      </c>
      <c r="H1062" s="397">
        <f>H1063</f>
        <v>0</v>
      </c>
      <c r="I1062" s="192"/>
    </row>
    <row r="1063" spans="1:9" ht="47.25" hidden="1" x14ac:dyDescent="0.25">
      <c r="A1063" s="396" t="s">
        <v>133</v>
      </c>
      <c r="B1063" s="390">
        <v>910</v>
      </c>
      <c r="C1063" s="392" t="s">
        <v>118</v>
      </c>
      <c r="D1063" s="392" t="s">
        <v>213</v>
      </c>
      <c r="E1063" s="399" t="s">
        <v>696</v>
      </c>
      <c r="F1063" s="392" t="s">
        <v>134</v>
      </c>
      <c r="G1063" s="397">
        <v>0</v>
      </c>
      <c r="H1063" s="397">
        <v>0</v>
      </c>
      <c r="I1063" s="192"/>
    </row>
    <row r="1064" spans="1:9" ht="47.25" hidden="1" x14ac:dyDescent="0.25">
      <c r="A1064" s="31" t="s">
        <v>695</v>
      </c>
      <c r="B1064" s="390">
        <v>910</v>
      </c>
      <c r="C1064" s="392" t="s">
        <v>118</v>
      </c>
      <c r="D1064" s="392" t="s">
        <v>213</v>
      </c>
      <c r="E1064" s="392" t="s">
        <v>991</v>
      </c>
      <c r="F1064" s="392"/>
      <c r="G1064" s="397">
        <f>G1065</f>
        <v>0</v>
      </c>
      <c r="H1064" s="397">
        <f>H1065</f>
        <v>0</v>
      </c>
      <c r="I1064" s="192"/>
    </row>
    <row r="1065" spans="1:9" ht="31.5" hidden="1" x14ac:dyDescent="0.25">
      <c r="A1065" s="396" t="s">
        <v>131</v>
      </c>
      <c r="B1065" s="390">
        <v>910</v>
      </c>
      <c r="C1065" s="392" t="s">
        <v>118</v>
      </c>
      <c r="D1065" s="392" t="s">
        <v>213</v>
      </c>
      <c r="E1065" s="392" t="s">
        <v>991</v>
      </c>
      <c r="F1065" s="392" t="s">
        <v>132</v>
      </c>
      <c r="G1065" s="397">
        <f>G1066</f>
        <v>0</v>
      </c>
      <c r="H1065" s="397">
        <f>H1066</f>
        <v>0</v>
      </c>
      <c r="I1065" s="192"/>
    </row>
    <row r="1066" spans="1:9" ht="47.25" hidden="1" x14ac:dyDescent="0.25">
      <c r="A1066" s="396" t="s">
        <v>133</v>
      </c>
      <c r="B1066" s="390">
        <v>910</v>
      </c>
      <c r="C1066" s="392" t="s">
        <v>118</v>
      </c>
      <c r="D1066" s="392" t="s">
        <v>213</v>
      </c>
      <c r="E1066" s="392" t="s">
        <v>991</v>
      </c>
      <c r="F1066" s="392" t="s">
        <v>134</v>
      </c>
      <c r="G1066" s="397">
        <v>0</v>
      </c>
      <c r="H1066" s="397">
        <v>0</v>
      </c>
      <c r="I1066" s="192"/>
    </row>
    <row r="1067" spans="1:9" ht="63" x14ac:dyDescent="0.25">
      <c r="A1067" s="394" t="s">
        <v>578</v>
      </c>
      <c r="B1067" s="391">
        <v>910</v>
      </c>
      <c r="C1067" s="395" t="s">
        <v>118</v>
      </c>
      <c r="D1067" s="395" t="s">
        <v>215</v>
      </c>
      <c r="E1067" s="395"/>
      <c r="F1067" s="395"/>
      <c r="G1067" s="393">
        <f>G1068</f>
        <v>5488</v>
      </c>
      <c r="H1067" s="393">
        <f>H1068</f>
        <v>5488</v>
      </c>
      <c r="I1067" s="192"/>
    </row>
    <row r="1068" spans="1:9" ht="31.5" x14ac:dyDescent="0.25">
      <c r="A1068" s="394" t="s">
        <v>916</v>
      </c>
      <c r="B1068" s="391">
        <v>910</v>
      </c>
      <c r="C1068" s="395" t="s">
        <v>118</v>
      </c>
      <c r="D1068" s="395" t="s">
        <v>215</v>
      </c>
      <c r="E1068" s="395" t="s">
        <v>857</v>
      </c>
      <c r="F1068" s="395"/>
      <c r="G1068" s="393">
        <f>G1069</f>
        <v>5488</v>
      </c>
      <c r="H1068" s="393">
        <f>H1069</f>
        <v>5488</v>
      </c>
      <c r="I1068" s="192"/>
    </row>
    <row r="1069" spans="1:9" ht="31.5" x14ac:dyDescent="0.25">
      <c r="A1069" s="394" t="s">
        <v>985</v>
      </c>
      <c r="B1069" s="391">
        <v>910</v>
      </c>
      <c r="C1069" s="395" t="s">
        <v>118</v>
      </c>
      <c r="D1069" s="395" t="s">
        <v>215</v>
      </c>
      <c r="E1069" s="395" t="s">
        <v>986</v>
      </c>
      <c r="F1069" s="395"/>
      <c r="G1069" s="393">
        <f>G1075+G1080+G1070</f>
        <v>5488</v>
      </c>
      <c r="H1069" s="393">
        <f>H1075+H1080+H1070</f>
        <v>5488</v>
      </c>
      <c r="I1069" s="192"/>
    </row>
    <row r="1070" spans="1:9" ht="47.25" x14ac:dyDescent="0.25">
      <c r="A1070" s="265" t="s">
        <v>1362</v>
      </c>
      <c r="B1070" s="390">
        <v>910</v>
      </c>
      <c r="C1070" s="392" t="s">
        <v>118</v>
      </c>
      <c r="D1070" s="392" t="s">
        <v>215</v>
      </c>
      <c r="E1070" s="392" t="s">
        <v>1400</v>
      </c>
      <c r="F1070" s="395"/>
      <c r="G1070" s="397">
        <f>G1071+G1073</f>
        <v>4247.6000000000004</v>
      </c>
      <c r="H1070" s="397">
        <f>H1071+H1073</f>
        <v>4247.6000000000004</v>
      </c>
      <c r="I1070" s="192"/>
    </row>
    <row r="1071" spans="1:9" ht="78.75" x14ac:dyDescent="0.25">
      <c r="A1071" s="396" t="s">
        <v>127</v>
      </c>
      <c r="B1071" s="390">
        <v>910</v>
      </c>
      <c r="C1071" s="392" t="s">
        <v>118</v>
      </c>
      <c r="D1071" s="392" t="s">
        <v>215</v>
      </c>
      <c r="E1071" s="392" t="s">
        <v>1400</v>
      </c>
      <c r="F1071" s="392" t="s">
        <v>128</v>
      </c>
      <c r="G1071" s="397">
        <f>G1072</f>
        <v>4154.6000000000004</v>
      </c>
      <c r="H1071" s="397">
        <f>H1072</f>
        <v>4154.6000000000004</v>
      </c>
      <c r="I1071" s="192"/>
    </row>
    <row r="1072" spans="1:9" ht="31.5" x14ac:dyDescent="0.25">
      <c r="A1072" s="396" t="s">
        <v>129</v>
      </c>
      <c r="B1072" s="390">
        <v>910</v>
      </c>
      <c r="C1072" s="392" t="s">
        <v>118</v>
      </c>
      <c r="D1072" s="392" t="s">
        <v>215</v>
      </c>
      <c r="E1072" s="392" t="s">
        <v>1400</v>
      </c>
      <c r="F1072" s="392" t="s">
        <v>130</v>
      </c>
      <c r="G1072" s="397">
        <v>4154.6000000000004</v>
      </c>
      <c r="H1072" s="397">
        <f>G1072</f>
        <v>4154.6000000000004</v>
      </c>
      <c r="I1072" s="192"/>
    </row>
    <row r="1073" spans="1:9" ht="31.5" x14ac:dyDescent="0.25">
      <c r="A1073" s="396" t="s">
        <v>198</v>
      </c>
      <c r="B1073" s="390">
        <v>910</v>
      </c>
      <c r="C1073" s="392" t="s">
        <v>118</v>
      </c>
      <c r="D1073" s="392" t="s">
        <v>215</v>
      </c>
      <c r="E1073" s="392" t="s">
        <v>1400</v>
      </c>
      <c r="F1073" s="392" t="s">
        <v>132</v>
      </c>
      <c r="G1073" s="397">
        <f>G1074</f>
        <v>93</v>
      </c>
      <c r="H1073" s="397">
        <f>H1074</f>
        <v>93</v>
      </c>
      <c r="I1073" s="192"/>
    </row>
    <row r="1074" spans="1:9" ht="47.25" x14ac:dyDescent="0.25">
      <c r="A1074" s="396" t="s">
        <v>133</v>
      </c>
      <c r="B1074" s="390">
        <v>910</v>
      </c>
      <c r="C1074" s="392" t="s">
        <v>118</v>
      </c>
      <c r="D1074" s="392" t="s">
        <v>215</v>
      </c>
      <c r="E1074" s="392" t="s">
        <v>1400</v>
      </c>
      <c r="F1074" s="392" t="s">
        <v>134</v>
      </c>
      <c r="G1074" s="397">
        <v>93</v>
      </c>
      <c r="H1074" s="397">
        <f>G1074</f>
        <v>93</v>
      </c>
      <c r="I1074" s="192"/>
    </row>
    <row r="1075" spans="1:9" ht="31.5" x14ac:dyDescent="0.25">
      <c r="A1075" s="396" t="s">
        <v>989</v>
      </c>
      <c r="B1075" s="390">
        <v>910</v>
      </c>
      <c r="C1075" s="392" t="s">
        <v>118</v>
      </c>
      <c r="D1075" s="392" t="s">
        <v>215</v>
      </c>
      <c r="E1075" s="392" t="s">
        <v>990</v>
      </c>
      <c r="F1075" s="392"/>
      <c r="G1075" s="397">
        <f>G1076+G1078</f>
        <v>1240.4000000000001</v>
      </c>
      <c r="H1075" s="397">
        <f>H1076+H1078</f>
        <v>1240.4000000000001</v>
      </c>
      <c r="I1075" s="192"/>
    </row>
    <row r="1076" spans="1:9" ht="78.75" x14ac:dyDescent="0.25">
      <c r="A1076" s="396" t="s">
        <v>127</v>
      </c>
      <c r="B1076" s="390">
        <v>910</v>
      </c>
      <c r="C1076" s="392" t="s">
        <v>118</v>
      </c>
      <c r="D1076" s="392" t="s">
        <v>215</v>
      </c>
      <c r="E1076" s="392" t="s">
        <v>990</v>
      </c>
      <c r="F1076" s="392" t="s">
        <v>128</v>
      </c>
      <c r="G1076" s="397">
        <f>G1077</f>
        <v>1240.4000000000001</v>
      </c>
      <c r="H1076" s="397">
        <f>H1077</f>
        <v>1240.4000000000001</v>
      </c>
      <c r="I1076" s="192"/>
    </row>
    <row r="1077" spans="1:9" ht="31.5" x14ac:dyDescent="0.25">
      <c r="A1077" s="396" t="s">
        <v>129</v>
      </c>
      <c r="B1077" s="390">
        <v>910</v>
      </c>
      <c r="C1077" s="392" t="s">
        <v>118</v>
      </c>
      <c r="D1077" s="392" t="s">
        <v>215</v>
      </c>
      <c r="E1077" s="392" t="s">
        <v>990</v>
      </c>
      <c r="F1077" s="392" t="s">
        <v>130</v>
      </c>
      <c r="G1077" s="397">
        <v>1240.4000000000001</v>
      </c>
      <c r="H1077" s="397">
        <f t="shared" si="92"/>
        <v>1240.4000000000001</v>
      </c>
      <c r="I1077" s="192"/>
    </row>
    <row r="1078" spans="1:9" ht="31.5" hidden="1" x14ac:dyDescent="0.25">
      <c r="A1078" s="396" t="s">
        <v>198</v>
      </c>
      <c r="B1078" s="390">
        <v>910</v>
      </c>
      <c r="C1078" s="392" t="s">
        <v>118</v>
      </c>
      <c r="D1078" s="392" t="s">
        <v>215</v>
      </c>
      <c r="E1078" s="392" t="s">
        <v>990</v>
      </c>
      <c r="F1078" s="392" t="s">
        <v>132</v>
      </c>
      <c r="G1078" s="397">
        <f>G1079</f>
        <v>0</v>
      </c>
      <c r="H1078" s="397">
        <f>H1079</f>
        <v>0</v>
      </c>
      <c r="I1078" s="192"/>
    </row>
    <row r="1079" spans="1:9" ht="47.25" hidden="1" x14ac:dyDescent="0.25">
      <c r="A1079" s="396" t="s">
        <v>133</v>
      </c>
      <c r="B1079" s="390">
        <v>910</v>
      </c>
      <c r="C1079" s="392" t="s">
        <v>118</v>
      </c>
      <c r="D1079" s="392" t="s">
        <v>215</v>
      </c>
      <c r="E1079" s="392" t="s">
        <v>990</v>
      </c>
      <c r="F1079" s="392" t="s">
        <v>134</v>
      </c>
      <c r="G1079" s="397">
        <v>0</v>
      </c>
      <c r="H1079" s="397">
        <f t="shared" si="92"/>
        <v>0</v>
      </c>
      <c r="I1079" s="192"/>
    </row>
    <row r="1080" spans="1:9" ht="47.25" hidden="1" x14ac:dyDescent="0.25">
      <c r="A1080" s="396" t="s">
        <v>838</v>
      </c>
      <c r="B1080" s="390">
        <v>910</v>
      </c>
      <c r="C1080" s="392" t="s">
        <v>118</v>
      </c>
      <c r="D1080" s="392" t="s">
        <v>215</v>
      </c>
      <c r="E1080" s="392" t="s">
        <v>988</v>
      </c>
      <c r="F1080" s="392"/>
      <c r="G1080" s="397">
        <f>'[1]Пр.5 ведом.21'!G1051</f>
        <v>0</v>
      </c>
      <c r="H1080" s="397">
        <f t="shared" si="92"/>
        <v>0</v>
      </c>
      <c r="I1080" s="192"/>
    </row>
    <row r="1081" spans="1:9" ht="78.75" hidden="1" x14ac:dyDescent="0.25">
      <c r="A1081" s="396" t="s">
        <v>127</v>
      </c>
      <c r="B1081" s="390">
        <v>910</v>
      </c>
      <c r="C1081" s="392" t="s">
        <v>118</v>
      </c>
      <c r="D1081" s="392" t="s">
        <v>215</v>
      </c>
      <c r="E1081" s="392" t="s">
        <v>988</v>
      </c>
      <c r="F1081" s="392" t="s">
        <v>128</v>
      </c>
      <c r="G1081" s="397">
        <f>'[1]Пр.5 ведом.21'!G1052</f>
        <v>0</v>
      </c>
      <c r="H1081" s="397">
        <f t="shared" si="92"/>
        <v>0</v>
      </c>
      <c r="I1081" s="192"/>
    </row>
    <row r="1082" spans="1:9" ht="31.5" hidden="1" x14ac:dyDescent="0.25">
      <c r="A1082" s="396" t="s">
        <v>129</v>
      </c>
      <c r="B1082" s="390">
        <v>910</v>
      </c>
      <c r="C1082" s="392" t="s">
        <v>118</v>
      </c>
      <c r="D1082" s="392" t="s">
        <v>215</v>
      </c>
      <c r="E1082" s="392" t="s">
        <v>988</v>
      </c>
      <c r="F1082" s="392" t="s">
        <v>130</v>
      </c>
      <c r="G1082" s="397">
        <f>'[1]Пр.5 ведом.21'!G1053</f>
        <v>0</v>
      </c>
      <c r="H1082" s="397">
        <f t="shared" si="92"/>
        <v>0</v>
      </c>
      <c r="I1082" s="192"/>
    </row>
    <row r="1083" spans="1:9" ht="47.25" x14ac:dyDescent="0.25">
      <c r="A1083" s="394" t="s">
        <v>119</v>
      </c>
      <c r="B1083" s="391">
        <v>910</v>
      </c>
      <c r="C1083" s="395" t="s">
        <v>118</v>
      </c>
      <c r="D1083" s="395" t="s">
        <v>120</v>
      </c>
      <c r="E1083" s="395"/>
      <c r="F1083" s="395"/>
      <c r="G1083" s="393">
        <f>G1084</f>
        <v>1798.5</v>
      </c>
      <c r="H1083" s="393">
        <f>H1084</f>
        <v>1798.5</v>
      </c>
      <c r="I1083" s="192"/>
    </row>
    <row r="1084" spans="1:9" ht="31.5" x14ac:dyDescent="0.25">
      <c r="A1084" s="394" t="s">
        <v>916</v>
      </c>
      <c r="B1084" s="391">
        <v>910</v>
      </c>
      <c r="C1084" s="395" t="s">
        <v>118</v>
      </c>
      <c r="D1084" s="395" t="s">
        <v>120</v>
      </c>
      <c r="E1084" s="395" t="s">
        <v>857</v>
      </c>
      <c r="F1084" s="395"/>
      <c r="G1084" s="393">
        <f>G1085</f>
        <v>1798.5</v>
      </c>
      <c r="H1084" s="393">
        <f>H1085</f>
        <v>1798.5</v>
      </c>
      <c r="I1084" s="192"/>
    </row>
    <row r="1085" spans="1:9" ht="31.5" x14ac:dyDescent="0.25">
      <c r="A1085" s="394" t="s">
        <v>985</v>
      </c>
      <c r="B1085" s="391">
        <v>910</v>
      </c>
      <c r="C1085" s="395" t="s">
        <v>118</v>
      </c>
      <c r="D1085" s="395" t="s">
        <v>120</v>
      </c>
      <c r="E1085" s="395" t="s">
        <v>986</v>
      </c>
      <c r="F1085" s="395"/>
      <c r="G1085" s="393">
        <f>G1086+G1091</f>
        <v>1798.5</v>
      </c>
      <c r="H1085" s="393">
        <f>H1086+H1091</f>
        <v>1798.5</v>
      </c>
      <c r="I1085" s="192"/>
    </row>
    <row r="1086" spans="1:9" ht="31.5" x14ac:dyDescent="0.25">
      <c r="A1086" s="396" t="s">
        <v>896</v>
      </c>
      <c r="B1086" s="390">
        <v>910</v>
      </c>
      <c r="C1086" s="392" t="s">
        <v>118</v>
      </c>
      <c r="D1086" s="392" t="s">
        <v>120</v>
      </c>
      <c r="E1086" s="392" t="s">
        <v>990</v>
      </c>
      <c r="F1086" s="392"/>
      <c r="G1086" s="397">
        <f>G1087+G1089</f>
        <v>1752.5</v>
      </c>
      <c r="H1086" s="397">
        <f>H1087+H1089</f>
        <v>1752.5</v>
      </c>
      <c r="I1086" s="192"/>
    </row>
    <row r="1087" spans="1:9" ht="78.75" x14ac:dyDescent="0.25">
      <c r="A1087" s="396" t="s">
        <v>127</v>
      </c>
      <c r="B1087" s="390">
        <v>910</v>
      </c>
      <c r="C1087" s="392" t="s">
        <v>118</v>
      </c>
      <c r="D1087" s="392" t="s">
        <v>120</v>
      </c>
      <c r="E1087" s="392" t="s">
        <v>990</v>
      </c>
      <c r="F1087" s="392" t="s">
        <v>128</v>
      </c>
      <c r="G1087" s="397">
        <f>G1088</f>
        <v>1734.5</v>
      </c>
      <c r="H1087" s="397">
        <f>H1088</f>
        <v>1734.5</v>
      </c>
      <c r="I1087" s="192"/>
    </row>
    <row r="1088" spans="1:9" ht="31.5" x14ac:dyDescent="0.25">
      <c r="A1088" s="396" t="s">
        <v>129</v>
      </c>
      <c r="B1088" s="390">
        <v>910</v>
      </c>
      <c r="C1088" s="392" t="s">
        <v>118</v>
      </c>
      <c r="D1088" s="392" t="s">
        <v>120</v>
      </c>
      <c r="E1088" s="392" t="s">
        <v>990</v>
      </c>
      <c r="F1088" s="392" t="s">
        <v>130</v>
      </c>
      <c r="G1088" s="397">
        <v>1734.5</v>
      </c>
      <c r="H1088" s="397">
        <f t="shared" si="92"/>
        <v>1734.5</v>
      </c>
      <c r="I1088" s="192"/>
    </row>
    <row r="1089" spans="1:41" ht="31.5" x14ac:dyDescent="0.25">
      <c r="A1089" s="396" t="s">
        <v>198</v>
      </c>
      <c r="B1089" s="390">
        <v>910</v>
      </c>
      <c r="C1089" s="392" t="s">
        <v>118</v>
      </c>
      <c r="D1089" s="392" t="s">
        <v>120</v>
      </c>
      <c r="E1089" s="392" t="s">
        <v>990</v>
      </c>
      <c r="F1089" s="392" t="s">
        <v>132</v>
      </c>
      <c r="G1089" s="397">
        <f>G1090</f>
        <v>18</v>
      </c>
      <c r="H1089" s="397">
        <f>H1090</f>
        <v>18</v>
      </c>
      <c r="I1089" s="192"/>
    </row>
    <row r="1090" spans="1:41" ht="34.700000000000003" customHeight="1" x14ac:dyDescent="0.25">
      <c r="A1090" s="396" t="s">
        <v>133</v>
      </c>
      <c r="B1090" s="390">
        <v>910</v>
      </c>
      <c r="C1090" s="392" t="s">
        <v>118</v>
      </c>
      <c r="D1090" s="392" t="s">
        <v>120</v>
      </c>
      <c r="E1090" s="392" t="s">
        <v>990</v>
      </c>
      <c r="F1090" s="392" t="s">
        <v>134</v>
      </c>
      <c r="G1090" s="397">
        <f>18</f>
        <v>18</v>
      </c>
      <c r="H1090" s="397">
        <f t="shared" si="92"/>
        <v>18</v>
      </c>
      <c r="I1090" s="192"/>
    </row>
    <row r="1091" spans="1:41" ht="47.25" x14ac:dyDescent="0.25">
      <c r="A1091" s="396" t="s">
        <v>838</v>
      </c>
      <c r="B1091" s="390">
        <v>910</v>
      </c>
      <c r="C1091" s="392" t="s">
        <v>118</v>
      </c>
      <c r="D1091" s="392" t="s">
        <v>120</v>
      </c>
      <c r="E1091" s="392" t="s">
        <v>988</v>
      </c>
      <c r="F1091" s="392"/>
      <c r="G1091" s="397">
        <f>G1092</f>
        <v>46</v>
      </c>
      <c r="H1091" s="397">
        <f>H1092</f>
        <v>46</v>
      </c>
      <c r="I1091" s="192"/>
    </row>
    <row r="1092" spans="1:41" ht="78.75" x14ac:dyDescent="0.25">
      <c r="A1092" s="396" t="s">
        <v>127</v>
      </c>
      <c r="B1092" s="390">
        <v>910</v>
      </c>
      <c r="C1092" s="392" t="s">
        <v>118</v>
      </c>
      <c r="D1092" s="392" t="s">
        <v>120</v>
      </c>
      <c r="E1092" s="392" t="s">
        <v>988</v>
      </c>
      <c r="F1092" s="392" t="s">
        <v>128</v>
      </c>
      <c r="G1092" s="397">
        <f>G1093</f>
        <v>46</v>
      </c>
      <c r="H1092" s="397">
        <f>H1093</f>
        <v>46</v>
      </c>
      <c r="I1092" s="192"/>
    </row>
    <row r="1093" spans="1:41" ht="31.5" x14ac:dyDescent="0.25">
      <c r="A1093" s="396" t="s">
        <v>129</v>
      </c>
      <c r="B1093" s="390">
        <v>910</v>
      </c>
      <c r="C1093" s="392" t="s">
        <v>118</v>
      </c>
      <c r="D1093" s="392" t="s">
        <v>120</v>
      </c>
      <c r="E1093" s="392" t="s">
        <v>988</v>
      </c>
      <c r="F1093" s="392" t="s">
        <v>130</v>
      </c>
      <c r="G1093" s="397">
        <v>46</v>
      </c>
      <c r="H1093" s="397">
        <f t="shared" si="92"/>
        <v>46</v>
      </c>
      <c r="I1093" s="192"/>
    </row>
    <row r="1094" spans="1:41" ht="15.75" x14ac:dyDescent="0.25">
      <c r="A1094" s="48" t="s">
        <v>587</v>
      </c>
      <c r="B1094" s="48"/>
      <c r="C1094" s="395"/>
      <c r="D1094" s="395"/>
      <c r="E1094" s="395"/>
      <c r="F1094" s="395"/>
      <c r="G1094" s="338">
        <f>G1046+G831+G756+G537+G488+G242+G31+G10+G9</f>
        <v>736280.59999999986</v>
      </c>
      <c r="H1094" s="338">
        <f>H1046+H831+H756+H537+H488+H242+H31+H10+H9</f>
        <v>777267.39999999991</v>
      </c>
      <c r="I1094" s="192"/>
      <c r="N1094" s="567" t="s">
        <v>1528</v>
      </c>
      <c r="O1094" s="567"/>
      <c r="P1094" s="567"/>
      <c r="Q1094" s="567"/>
      <c r="R1094" s="567"/>
      <c r="S1094" s="567"/>
      <c r="T1094" s="567"/>
      <c r="U1094" s="567"/>
      <c r="V1094" s="567"/>
      <c r="W1094" s="567"/>
      <c r="X1094" s="567" t="s">
        <v>1529</v>
      </c>
      <c r="Y1094" s="567"/>
      <c r="Z1094" s="567"/>
      <c r="AA1094" s="567"/>
      <c r="AB1094" s="567"/>
      <c r="AC1094" s="567"/>
      <c r="AD1094" s="567"/>
      <c r="AE1094" s="567"/>
      <c r="AF1094" s="567"/>
      <c r="AG1094" s="567"/>
      <c r="AH1094" s="365"/>
      <c r="AI1094" s="365"/>
      <c r="AJ1094" s="365"/>
    </row>
    <row r="1095" spans="1:41" ht="48" x14ac:dyDescent="0.25">
      <c r="A1095" s="50"/>
      <c r="B1095" s="50"/>
      <c r="C1095" s="50"/>
      <c r="D1095" s="50"/>
      <c r="E1095" s="305">
        <f>G1096-G1095</f>
        <v>-5.3905410459265113E-4</v>
      </c>
      <c r="F1095" s="50"/>
      <c r="G1095" s="343">
        <f>'Пр.1.1. дох.22-23 (2)'!C157</f>
        <v>499147.7</v>
      </c>
      <c r="H1095" s="343">
        <f>'Пр.1.1. дох.22-23 (2)'!D157</f>
        <v>509037.5</v>
      </c>
      <c r="L1095" s="214">
        <f>H1096-H1095</f>
        <v>-1.0891090496443212E-3</v>
      </c>
      <c r="M1095" s="192"/>
      <c r="N1095" s="286" t="s">
        <v>1278</v>
      </c>
      <c r="O1095" s="286" t="s">
        <v>1279</v>
      </c>
      <c r="P1095" s="286" t="s">
        <v>1280</v>
      </c>
      <c r="Q1095" s="286" t="s">
        <v>1281</v>
      </c>
      <c r="R1095" s="286" t="s">
        <v>1331</v>
      </c>
      <c r="S1095" s="286" t="s">
        <v>1409</v>
      </c>
      <c r="T1095" s="286" t="s">
        <v>1458</v>
      </c>
      <c r="U1095" s="286" t="s">
        <v>1459</v>
      </c>
      <c r="V1095" s="286" t="s">
        <v>1460</v>
      </c>
      <c r="W1095" s="286" t="s">
        <v>1464</v>
      </c>
      <c r="X1095" s="363" t="s">
        <v>1278</v>
      </c>
      <c r="Y1095" s="363" t="s">
        <v>1279</v>
      </c>
      <c r="Z1095" s="363" t="s">
        <v>1280</v>
      </c>
      <c r="AA1095" s="363" t="s">
        <v>1281</v>
      </c>
      <c r="AB1095" s="363" t="s">
        <v>1331</v>
      </c>
      <c r="AC1095" s="363" t="s">
        <v>1409</v>
      </c>
      <c r="AD1095" s="363" t="s">
        <v>1458</v>
      </c>
      <c r="AE1095" s="363" t="s">
        <v>1459</v>
      </c>
      <c r="AF1095" s="363" t="s">
        <v>1460</v>
      </c>
      <c r="AG1095" s="363" t="s">
        <v>1464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39">
        <f>G1094-G1097</f>
        <v>499147.69946094591</v>
      </c>
      <c r="H1096" s="339">
        <f>H1094-H1097</f>
        <v>509037.49891089095</v>
      </c>
      <c r="L1096" s="192"/>
      <c r="M1096" s="283" t="s">
        <v>588</v>
      </c>
      <c r="N1096" s="285">
        <v>500</v>
      </c>
      <c r="O1096" s="285">
        <v>0</v>
      </c>
      <c r="P1096" s="285">
        <f>300</f>
        <v>300</v>
      </c>
      <c r="Q1096" s="299">
        <f>Q1097*100/90.9-Q1097</f>
        <v>26.809460946094589</v>
      </c>
      <c r="R1096" s="285">
        <v>0</v>
      </c>
      <c r="S1096" s="285">
        <v>222.05</v>
      </c>
      <c r="T1096" s="285"/>
      <c r="U1096" s="366"/>
      <c r="V1096" s="366">
        <v>0</v>
      </c>
      <c r="W1096" s="299">
        <v>71.75</v>
      </c>
      <c r="X1096" s="364">
        <v>500</v>
      </c>
      <c r="Y1096" s="364">
        <v>0</v>
      </c>
      <c r="Z1096" s="364">
        <v>1500</v>
      </c>
      <c r="AA1096" s="367">
        <f>AA1097*100/90.9-AA1097</f>
        <v>26.308910891089056</v>
      </c>
      <c r="AB1096" s="364">
        <v>0</v>
      </c>
      <c r="AC1096" s="367">
        <v>210.85</v>
      </c>
      <c r="AD1096" s="364"/>
      <c r="AE1096" s="368"/>
      <c r="AF1096" s="368"/>
      <c r="AG1096" s="367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39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237132.90053905392</v>
      </c>
      <c r="H1097" s="339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268229.90108910896</v>
      </c>
      <c r="I1097" s="194">
        <v>267446.40000000002</v>
      </c>
      <c r="J1097" s="387">
        <v>260319.2</v>
      </c>
      <c r="L1097" s="192"/>
      <c r="M1097" s="284" t="s">
        <v>1463</v>
      </c>
      <c r="N1097" s="285">
        <v>0</v>
      </c>
      <c r="O1097" s="285">
        <v>0</v>
      </c>
      <c r="P1097" s="285">
        <v>0</v>
      </c>
      <c r="Q1097" s="285">
        <f>238.3+29.5</f>
        <v>267.8</v>
      </c>
      <c r="R1097" s="285">
        <v>0</v>
      </c>
      <c r="S1097" s="285">
        <f>4622.3+571.3</f>
        <v>5193.6000000000004</v>
      </c>
      <c r="T1097" s="366"/>
      <c r="U1097" s="366"/>
      <c r="V1097" s="366">
        <v>0</v>
      </c>
      <c r="W1097" s="285">
        <f>1644.1+33.6</f>
        <v>1677.6999999999998</v>
      </c>
      <c r="X1097" s="364">
        <v>0</v>
      </c>
      <c r="Y1097" s="364">
        <v>0</v>
      </c>
      <c r="Z1097" s="364">
        <v>0</v>
      </c>
      <c r="AA1097" s="364">
        <f>233.9+28.9</f>
        <v>262.8</v>
      </c>
      <c r="AB1097" s="364">
        <v>0</v>
      </c>
      <c r="AC1097" s="364">
        <f>4389.1+542.5</f>
        <v>4931.6000000000004</v>
      </c>
      <c r="AD1097" s="368">
        <f>[1]пр.1дох.21!M64</f>
        <v>0</v>
      </c>
      <c r="AE1097" s="368"/>
      <c r="AF1097" s="368"/>
      <c r="AG1097" s="364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44">
        <f>'Пр.1.1. дох.22-23 (2)'!C156</f>
        <v>237132.89999999997</v>
      </c>
      <c r="H1098" s="344">
        <f>'Пр.1.1. дох.22-23 (2)'!D156</f>
        <v>268229.89999999991</v>
      </c>
      <c r="I1098" s="216">
        <f>I1097-G1097</f>
        <v>30313.499460946099</v>
      </c>
      <c r="J1098" s="216">
        <f>J1097-H1097</f>
        <v>-7910.7010891089449</v>
      </c>
      <c r="L1098" s="214"/>
      <c r="M1098" s="214"/>
      <c r="N1098" s="369" t="s">
        <v>1283</v>
      </c>
      <c r="O1098" s="369" t="s">
        <v>1284</v>
      </c>
      <c r="P1098" s="369" t="s">
        <v>1285</v>
      </c>
      <c r="Q1098" s="369" t="s">
        <v>1286</v>
      </c>
      <c r="R1098" s="369" t="s">
        <v>1285</v>
      </c>
      <c r="S1098" s="369" t="s">
        <v>1408</v>
      </c>
      <c r="T1098" s="369" t="s">
        <v>1408</v>
      </c>
      <c r="U1098" s="298" t="s">
        <v>1408</v>
      </c>
      <c r="V1098" s="369" t="s">
        <v>1461</v>
      </c>
      <c r="W1098" s="369" t="s">
        <v>1408</v>
      </c>
      <c r="X1098" s="369" t="s">
        <v>1283</v>
      </c>
      <c r="Y1098" s="369" t="s">
        <v>1284</v>
      </c>
      <c r="Z1098" s="369" t="s">
        <v>1285</v>
      </c>
      <c r="AA1098" s="369" t="s">
        <v>1286</v>
      </c>
      <c r="AB1098" s="369" t="s">
        <v>1285</v>
      </c>
      <c r="AC1098" s="369" t="s">
        <v>1408</v>
      </c>
      <c r="AD1098" s="369" t="s">
        <v>1408</v>
      </c>
      <c r="AE1098" s="298" t="s">
        <v>1408</v>
      </c>
      <c r="AF1098" s="369" t="s">
        <v>1461</v>
      </c>
      <c r="AG1098" s="369" t="s">
        <v>1408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44">
        <f>G1097-G1098</f>
        <v>5.3905395907349885E-4</v>
      </c>
      <c r="H1099" s="344">
        <f>H1097-H1098</f>
        <v>1.0891090496443212E-3</v>
      </c>
    </row>
    <row r="1100" spans="1:41" ht="15.75" x14ac:dyDescent="0.25">
      <c r="A1100" s="50"/>
      <c r="B1100" s="50"/>
      <c r="C1100" s="51"/>
      <c r="D1100" s="53"/>
      <c r="E1100" s="53"/>
      <c r="F1100" s="342" t="s">
        <v>674</v>
      </c>
      <c r="G1100" s="344">
        <f>'Пр.1.1. дох.22-23 (2)'!C155-'пр.4.1. рдпр 22-23 (2)'!D51</f>
        <v>-2.5000000605359674E-3</v>
      </c>
      <c r="H1100" s="344">
        <f>'Пр.1.1. дох.22-23 (2)'!D155-'пр.4.1. рдпр 22-23 (2)'!E51</f>
        <v>0</v>
      </c>
    </row>
    <row r="1101" spans="1:4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192"/>
      <c r="N1101" s="560" t="s">
        <v>1530</v>
      </c>
      <c r="O1101" s="561"/>
      <c r="P1101" s="561"/>
      <c r="Q1101" s="561"/>
      <c r="R1101" s="561"/>
      <c r="S1101" s="561"/>
      <c r="T1101" s="561"/>
      <c r="U1101" s="561"/>
      <c r="V1101" s="561"/>
      <c r="W1101" s="561"/>
      <c r="X1101" s="561"/>
      <c r="Y1101" s="561"/>
      <c r="Z1101" s="561"/>
      <c r="AA1101" s="562"/>
      <c r="AB1101" s="568" t="s">
        <v>1531</v>
      </c>
      <c r="AC1101" s="568"/>
      <c r="AD1101" s="568"/>
      <c r="AE1101" s="568"/>
      <c r="AF1101" s="568"/>
      <c r="AG1101" s="568"/>
      <c r="AH1101" s="568"/>
      <c r="AI1101" s="568"/>
      <c r="AJ1101" s="568"/>
      <c r="AK1101" s="568"/>
      <c r="AL1101" s="568"/>
      <c r="AM1101" s="568"/>
      <c r="AN1101" s="568"/>
      <c r="AO1101" s="568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136787.41</v>
      </c>
      <c r="H1102" s="102">
        <f>H10+H32+H243+H489+H538+H832+H1047+H757</f>
        <v>123941.72</v>
      </c>
      <c r="M1102" s="192"/>
      <c r="N1102" s="383" t="s">
        <v>1466</v>
      </c>
      <c r="O1102" s="383" t="s">
        <v>1467</v>
      </c>
      <c r="P1102" s="383" t="s">
        <v>1469</v>
      </c>
      <c r="Q1102" s="383" t="s">
        <v>1470</v>
      </c>
      <c r="R1102" s="383" t="s">
        <v>1471</v>
      </c>
      <c r="S1102" s="383" t="s">
        <v>1472</v>
      </c>
      <c r="T1102" s="383" t="s">
        <v>1475</v>
      </c>
      <c r="U1102" s="383" t="s">
        <v>1477</v>
      </c>
      <c r="V1102" s="383" t="s">
        <v>1481</v>
      </c>
      <c r="W1102" s="383" t="s">
        <v>1482</v>
      </c>
      <c r="X1102" s="383" t="s">
        <v>1488</v>
      </c>
      <c r="Y1102" s="383" t="s">
        <v>1524</v>
      </c>
      <c r="Z1102" s="383" t="s">
        <v>1532</v>
      </c>
      <c r="AA1102" s="383" t="s">
        <v>1533</v>
      </c>
      <c r="AB1102" s="306" t="s">
        <v>1466</v>
      </c>
      <c r="AC1102" s="306" t="s">
        <v>1467</v>
      </c>
      <c r="AD1102" s="306" t="s">
        <v>1469</v>
      </c>
      <c r="AE1102" s="306" t="s">
        <v>1470</v>
      </c>
      <c r="AF1102" s="306" t="s">
        <v>1471</v>
      </c>
      <c r="AG1102" s="306" t="s">
        <v>1472</v>
      </c>
      <c r="AH1102" s="306" t="s">
        <v>1475</v>
      </c>
      <c r="AI1102" s="306" t="s">
        <v>1477</v>
      </c>
      <c r="AJ1102" s="306" t="s">
        <v>1481</v>
      </c>
      <c r="AK1102" s="306" t="s">
        <v>1482</v>
      </c>
      <c r="AL1102" s="306" t="s">
        <v>1488</v>
      </c>
      <c r="AM1102" s="306" t="s">
        <v>1524</v>
      </c>
      <c r="AN1102" s="306" t="s">
        <v>1532</v>
      </c>
      <c r="AO1102" s="306" t="s">
        <v>1533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133416.51</v>
      </c>
      <c r="H1103" s="102">
        <f>H1102-H1104</f>
        <v>120786.32</v>
      </c>
      <c r="M1103" s="281" t="s">
        <v>588</v>
      </c>
      <c r="N1103" s="304">
        <v>3.5</v>
      </c>
      <c r="O1103" s="304">
        <v>3584</v>
      </c>
      <c r="P1103" s="304">
        <v>2200</v>
      </c>
      <c r="Q1103" s="304">
        <v>0</v>
      </c>
      <c r="R1103" s="304">
        <v>868</v>
      </c>
      <c r="S1103" s="304">
        <v>124.4</v>
      </c>
      <c r="T1103" s="304">
        <v>0</v>
      </c>
      <c r="U1103" s="304">
        <v>678</v>
      </c>
      <c r="V1103" s="304">
        <v>19</v>
      </c>
      <c r="W1103" s="304">
        <v>1</v>
      </c>
      <c r="X1103" s="304">
        <v>60</v>
      </c>
      <c r="Y1103" s="304">
        <v>10</v>
      </c>
      <c r="Z1103" s="304">
        <v>150</v>
      </c>
      <c r="AA1103" s="304">
        <v>200</v>
      </c>
      <c r="AB1103" s="307">
        <v>3.5</v>
      </c>
      <c r="AC1103" s="307">
        <v>3584</v>
      </c>
      <c r="AD1103" s="307">
        <v>2200</v>
      </c>
      <c r="AE1103" s="307">
        <v>0</v>
      </c>
      <c r="AF1103" s="307">
        <v>868</v>
      </c>
      <c r="AG1103" s="307">
        <v>124.4</v>
      </c>
      <c r="AH1103" s="307">
        <v>0</v>
      </c>
      <c r="AI1103" s="307">
        <v>678</v>
      </c>
      <c r="AJ1103" s="307">
        <v>19</v>
      </c>
      <c r="AK1103" s="307">
        <v>1</v>
      </c>
      <c r="AL1103" s="307">
        <v>60</v>
      </c>
      <c r="AM1103" s="307">
        <v>10</v>
      </c>
      <c r="AN1103" s="307">
        <v>150</v>
      </c>
      <c r="AO1103" s="307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282" t="s">
        <v>589</v>
      </c>
      <c r="N1104" s="304">
        <v>65.2</v>
      </c>
      <c r="O1104" s="304">
        <v>2161.1</v>
      </c>
      <c r="P1104" s="304">
        <v>1731.8</v>
      </c>
      <c r="Q1104" s="304">
        <v>0</v>
      </c>
      <c r="R1104" s="304">
        <v>516.6</v>
      </c>
      <c r="S1104" s="304">
        <v>173.3</v>
      </c>
      <c r="T1104" s="304">
        <v>1666.6</v>
      </c>
      <c r="U1104" s="304">
        <v>77.8</v>
      </c>
      <c r="V1104" s="304">
        <v>255</v>
      </c>
      <c r="W1104" s="304">
        <v>40</v>
      </c>
      <c r="X1104" s="304">
        <v>200</v>
      </c>
      <c r="Y1104" s="304">
        <v>0</v>
      </c>
      <c r="Z1104" s="304">
        <v>0</v>
      </c>
      <c r="AA1104" s="304">
        <v>0</v>
      </c>
      <c r="AB1104" s="307">
        <v>65.2</v>
      </c>
      <c r="AC1104" s="307">
        <v>2161.1</v>
      </c>
      <c r="AD1104" s="307">
        <v>1665.2</v>
      </c>
      <c r="AE1104" s="307">
        <v>0</v>
      </c>
      <c r="AF1104" s="307">
        <v>516.6</v>
      </c>
      <c r="AG1104" s="307">
        <v>173.3</v>
      </c>
      <c r="AH1104" s="307">
        <v>915</v>
      </c>
      <c r="AI1104" s="307">
        <v>81</v>
      </c>
      <c r="AJ1104" s="307">
        <v>255</v>
      </c>
      <c r="AK1104" s="307">
        <v>40</v>
      </c>
      <c r="AL1104" s="307">
        <v>200</v>
      </c>
      <c r="AM1104" s="307">
        <v>0</v>
      </c>
      <c r="AN1104" s="307">
        <v>0</v>
      </c>
      <c r="AO1104" s="307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14"/>
      <c r="N1105" s="369" t="s">
        <v>1285</v>
      </c>
      <c r="O1105" s="369" t="s">
        <v>1468</v>
      </c>
      <c r="P1105" s="369" t="s">
        <v>1408</v>
      </c>
      <c r="Q1105" s="369" t="s">
        <v>1408</v>
      </c>
      <c r="R1105" s="369" t="s">
        <v>1408</v>
      </c>
      <c r="S1105" s="369" t="s">
        <v>1473</v>
      </c>
      <c r="T1105" s="369" t="s">
        <v>1476</v>
      </c>
      <c r="U1105" s="369" t="s">
        <v>1408</v>
      </c>
      <c r="V1105" s="369" t="s">
        <v>1483</v>
      </c>
      <c r="W1105" s="369" t="s">
        <v>1484</v>
      </c>
      <c r="X1105" s="369" t="s">
        <v>1487</v>
      </c>
      <c r="Y1105" s="369" t="s">
        <v>1286</v>
      </c>
      <c r="Z1105" s="369" t="s">
        <v>1487</v>
      </c>
      <c r="AA1105" s="369" t="s">
        <v>1284</v>
      </c>
      <c r="AB1105" s="436" t="s">
        <v>1285</v>
      </c>
      <c r="AC1105" s="369" t="s">
        <v>1468</v>
      </c>
      <c r="AD1105" s="369" t="s">
        <v>1408</v>
      </c>
      <c r="AE1105" s="436" t="s">
        <v>1408</v>
      </c>
      <c r="AF1105" s="436" t="s">
        <v>1408</v>
      </c>
      <c r="AG1105" s="369" t="s">
        <v>1473</v>
      </c>
      <c r="AH1105" s="436" t="s">
        <v>1473</v>
      </c>
      <c r="AI1105" s="436" t="s">
        <v>1408</v>
      </c>
      <c r="AJ1105" s="436" t="s">
        <v>1483</v>
      </c>
      <c r="AK1105" s="436" t="s">
        <v>1484</v>
      </c>
      <c r="AL1105" s="436" t="s">
        <v>1487</v>
      </c>
      <c r="AM1105" s="369" t="s">
        <v>1286</v>
      </c>
      <c r="AN1105" s="369" t="s">
        <v>1487</v>
      </c>
      <c r="AO1105" s="369" t="s">
        <v>1284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41786.1</v>
      </c>
      <c r="H1110" s="102">
        <f>H874+H521</f>
        <v>49898.450000000004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41786.1</v>
      </c>
      <c r="H1111" s="102">
        <f>H1110-H1112</f>
        <v>49898.450000000004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ht="15.75" x14ac:dyDescent="0.25">
      <c r="A1126" s="50"/>
      <c r="B1126" s="50"/>
      <c r="C1126" s="387"/>
      <c r="D1126" s="387"/>
      <c r="E1126" s="54" t="s">
        <v>1413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40">
        <f>G1102+G1105+G1106+G1107+G1110+G1113+G1116+G1119+G1122+G1125+G1126</f>
        <v>736280.6</v>
      </c>
      <c r="H1127" s="340">
        <f>H1102+H1105+H1106+H1107+H1110+H1113+H1116+H1119+H1122+H1125+H1126</f>
        <v>777267.39999999991</v>
      </c>
    </row>
    <row r="1128" spans="1:13" ht="15.75" x14ac:dyDescent="0.25">
      <c r="A1128" s="50"/>
      <c r="B1128" s="50"/>
      <c r="E1128" s="54" t="s">
        <v>588</v>
      </c>
      <c r="F1128" s="53"/>
      <c r="G1128" s="340">
        <f>G1103+G1105+G1106+G1108+G1111+G1114+G1117+G1120+G1123+G1125+G1126</f>
        <v>499147.69946094614</v>
      </c>
      <c r="H1128" s="340">
        <f>H1103+H1105+H1106+H1108+H1111+H1114+H1117+H1120+H1123+H1125+H1126</f>
        <v>509037.49891089107</v>
      </c>
      <c r="L1128" s="209">
        <f>G1128-G1096</f>
        <v>0</v>
      </c>
      <c r="M1128" s="209">
        <f>H1128-H1096</f>
        <v>0</v>
      </c>
    </row>
    <row r="1129" spans="1:13" ht="15.75" x14ac:dyDescent="0.25">
      <c r="A1129" s="50"/>
      <c r="B1129" s="50"/>
      <c r="E1129" s="54" t="s">
        <v>589</v>
      </c>
      <c r="F1129" s="53"/>
      <c r="G1129" s="340">
        <f>G1127-G1128</f>
        <v>237132.90053905384</v>
      </c>
      <c r="H1129" s="340">
        <f>H1127-H1128</f>
        <v>268229.90108910884</v>
      </c>
    </row>
    <row r="1130" spans="1:13" x14ac:dyDescent="0.25">
      <c r="G1130" s="115">
        <f>G1127-G1094</f>
        <v>0</v>
      </c>
      <c r="H1130" s="115">
        <f>H1127-H1094</f>
        <v>0</v>
      </c>
      <c r="L1130" s="261">
        <f>H1130-G1130</f>
        <v>0</v>
      </c>
    </row>
    <row r="1131" spans="1:13" x14ac:dyDescent="0.25">
      <c r="D1131" s="192" t="s">
        <v>590</v>
      </c>
      <c r="E1131" s="192">
        <v>50</v>
      </c>
      <c r="G1131" s="115">
        <f>G861</f>
        <v>2319</v>
      </c>
      <c r="H1131" s="115">
        <f>H861</f>
        <v>2319</v>
      </c>
    </row>
    <row r="1132" spans="1:13" x14ac:dyDescent="0.25">
      <c r="E1132" s="192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192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x14ac:dyDescent="0.25">
      <c r="E1134" s="192">
        <v>53</v>
      </c>
      <c r="G1134" s="115">
        <f>G213</f>
        <v>150</v>
      </c>
      <c r="H1134" s="115">
        <f>H213</f>
        <v>150</v>
      </c>
    </row>
    <row r="1135" spans="1:13" x14ac:dyDescent="0.25">
      <c r="E1135" s="192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192">
        <v>55</v>
      </c>
      <c r="G1136" s="115">
        <f>G226</f>
        <v>10</v>
      </c>
      <c r="H1136" s="115">
        <f>H226</f>
        <v>10</v>
      </c>
    </row>
    <row r="1137" spans="5:8" x14ac:dyDescent="0.25">
      <c r="E1137" s="192">
        <v>56</v>
      </c>
    </row>
    <row r="1138" spans="5:8" x14ac:dyDescent="0.25">
      <c r="E1138" s="192">
        <v>57</v>
      </c>
      <c r="G1138" s="115">
        <f>G766+G824</f>
        <v>52873.1</v>
      </c>
      <c r="H1138" s="115">
        <f>H766+H824</f>
        <v>52873.1</v>
      </c>
    </row>
    <row r="1139" spans="5:8" x14ac:dyDescent="0.25">
      <c r="E1139" s="192">
        <v>58</v>
      </c>
      <c r="G1139" s="115">
        <f>G295+G359+G470</f>
        <v>81484.89</v>
      </c>
      <c r="H1139" s="115">
        <f>H295+H359+H470</f>
        <v>82684.89</v>
      </c>
    </row>
    <row r="1140" spans="5:8" x14ac:dyDescent="0.25">
      <c r="E1140" s="192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5:8" x14ac:dyDescent="0.25">
      <c r="E1141" s="192">
        <v>60</v>
      </c>
      <c r="G1141" s="115">
        <f>G959</f>
        <v>1920</v>
      </c>
      <c r="H1141" s="115">
        <f>H959</f>
        <v>2173</v>
      </c>
    </row>
    <row r="1142" spans="5:8" x14ac:dyDescent="0.25">
      <c r="E1142" s="192">
        <v>61</v>
      </c>
      <c r="G1142" s="115">
        <f>G193</f>
        <v>274</v>
      </c>
      <c r="H1142" s="115">
        <f>H193</f>
        <v>274</v>
      </c>
    </row>
    <row r="1143" spans="5:8" x14ac:dyDescent="0.25">
      <c r="E1143" s="192">
        <v>62</v>
      </c>
      <c r="G1143" s="115">
        <f>G919</f>
        <v>700</v>
      </c>
      <c r="H1143" s="115">
        <f>H919</f>
        <v>700</v>
      </c>
    </row>
    <row r="1144" spans="5:8" x14ac:dyDescent="0.25">
      <c r="E1144" s="192">
        <v>63</v>
      </c>
      <c r="G1144" s="115">
        <f>G251+G540+G759</f>
        <v>120</v>
      </c>
      <c r="H1144" s="115">
        <f>H251+H540+H759</f>
        <v>120</v>
      </c>
    </row>
    <row r="1145" spans="5:8" x14ac:dyDescent="0.25">
      <c r="E1145" s="192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5:8" x14ac:dyDescent="0.25">
      <c r="E1146" s="192">
        <v>65</v>
      </c>
      <c r="G1146" s="115">
        <f>G998</f>
        <v>500</v>
      </c>
      <c r="H1146" s="115">
        <f>H998</f>
        <v>500</v>
      </c>
    </row>
    <row r="1147" spans="5:8" x14ac:dyDescent="0.25">
      <c r="E1147" s="192">
        <v>66</v>
      </c>
      <c r="G1147" s="115">
        <f>G516</f>
        <v>0</v>
      </c>
      <c r="H1147" s="115">
        <f>H516</f>
        <v>0</v>
      </c>
    </row>
    <row r="1148" spans="5:8" x14ac:dyDescent="0.25">
      <c r="E1148" s="192">
        <v>67</v>
      </c>
      <c r="G1148" s="115">
        <f>G155</f>
        <v>45</v>
      </c>
      <c r="H1148" s="115">
        <f>H155</f>
        <v>50</v>
      </c>
    </row>
    <row r="1149" spans="5:8" x14ac:dyDescent="0.25">
      <c r="E1149" s="192">
        <v>69</v>
      </c>
      <c r="G1149" s="115">
        <f>G160</f>
        <v>80</v>
      </c>
      <c r="H1149" s="115">
        <f>H160</f>
        <v>90</v>
      </c>
    </row>
    <row r="1150" spans="5:8" x14ac:dyDescent="0.25">
      <c r="E1150" s="192">
        <v>70</v>
      </c>
      <c r="G1150" s="115">
        <f>G948</f>
        <v>204</v>
      </c>
      <c r="H1150" s="115">
        <f>H948</f>
        <v>215</v>
      </c>
    </row>
    <row r="1151" spans="5:8" x14ac:dyDescent="0.25">
      <c r="G1151" s="115">
        <f>SUM(G1131:G1150)</f>
        <v>473372.89999999991</v>
      </c>
      <c r="H1151" s="115">
        <f>SUM(H1131:H1150)</f>
        <v>498426.15</v>
      </c>
    </row>
  </sheetData>
  <mergeCells count="9">
    <mergeCell ref="A4:F4"/>
    <mergeCell ref="A5:H5"/>
    <mergeCell ref="N1094:W1094"/>
    <mergeCell ref="X1094:AG1094"/>
    <mergeCell ref="N1101:AA1101"/>
    <mergeCell ref="AB1101:AO1101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view="pageBreakPreview" zoomScale="75" zoomScaleNormal="90" zoomScaleSheetLayoutView="75" workbookViewId="0">
      <selection activeCell="I4" sqref="I4"/>
    </sheetView>
  </sheetViews>
  <sheetFormatPr defaultRowHeight="15" x14ac:dyDescent="0.25"/>
  <cols>
    <col min="1" max="1" width="56.28515625" style="192" customWidth="1"/>
    <col min="2" max="2" width="17.42578125" style="192" customWidth="1"/>
    <col min="3" max="3" width="8.28515625" style="192" customWidth="1"/>
    <col min="4" max="4" width="7.28515625" style="192" customWidth="1"/>
    <col min="5" max="5" width="8.7109375" style="192" customWidth="1"/>
    <col min="6" max="6" width="9.140625" style="192"/>
    <col min="7" max="7" width="15.85546875" style="115" customWidth="1"/>
    <col min="8" max="8" width="13.42578125" style="115" customWidth="1"/>
    <col min="9" max="9" width="13.28515625" style="115" customWidth="1"/>
  </cols>
  <sheetData>
    <row r="1" spans="1:9" ht="15.75" x14ac:dyDescent="0.25">
      <c r="H1" s="569" t="s">
        <v>108</v>
      </c>
      <c r="I1" s="569"/>
    </row>
    <row r="2" spans="1:9" ht="15.75" x14ac:dyDescent="0.25">
      <c r="H2" s="569" t="s">
        <v>591</v>
      </c>
      <c r="I2" s="569"/>
    </row>
    <row r="3" spans="1:9" ht="15.75" x14ac:dyDescent="0.25">
      <c r="H3" s="551" t="s">
        <v>1827</v>
      </c>
      <c r="I3" s="551"/>
    </row>
    <row r="4" spans="1:9" s="191" customFormat="1" ht="15.75" x14ac:dyDescent="0.25">
      <c r="A4" s="192"/>
      <c r="B4" s="192"/>
      <c r="C4" s="192"/>
      <c r="D4" s="192"/>
      <c r="E4" s="192"/>
      <c r="F4" s="62"/>
      <c r="G4" s="458"/>
      <c r="H4" s="468"/>
      <c r="I4" s="468"/>
    </row>
    <row r="5" spans="1:9" ht="38.25" customHeight="1" x14ac:dyDescent="0.25">
      <c r="A5" s="556" t="s">
        <v>1817</v>
      </c>
      <c r="B5" s="556"/>
      <c r="C5" s="556"/>
      <c r="D5" s="556"/>
      <c r="E5" s="556"/>
      <c r="F5" s="556"/>
      <c r="G5" s="556"/>
      <c r="H5" s="556"/>
      <c r="I5" s="556"/>
    </row>
    <row r="6" spans="1:9" ht="16.5" hidden="1" x14ac:dyDescent="0.25">
      <c r="A6" s="460"/>
      <c r="B6" s="460"/>
      <c r="C6" s="460"/>
      <c r="D6" s="460"/>
      <c r="E6" s="460"/>
      <c r="F6" s="460"/>
    </row>
    <row r="7" spans="1:9" ht="15.75" x14ac:dyDescent="0.25">
      <c r="A7" s="62"/>
      <c r="B7" s="62"/>
      <c r="C7" s="62"/>
      <c r="D7" s="62"/>
      <c r="E7" s="64"/>
      <c r="F7" s="64"/>
      <c r="G7" s="250"/>
      <c r="H7" s="250"/>
      <c r="I7" s="250"/>
    </row>
    <row r="8" spans="1:9" ht="4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36" t="s">
        <v>1703</v>
      </c>
      <c r="H8" s="336" t="s">
        <v>1705</v>
      </c>
      <c r="I8" s="336" t="s">
        <v>1704</v>
      </c>
    </row>
    <row r="9" spans="1:9" ht="47.25" x14ac:dyDescent="0.25">
      <c r="A9" s="58" t="s">
        <v>1393</v>
      </c>
      <c r="B9" s="7" t="s">
        <v>510</v>
      </c>
      <c r="C9" s="7"/>
      <c r="D9" s="7"/>
      <c r="E9" s="7"/>
      <c r="F9" s="7"/>
      <c r="G9" s="388">
        <f>G10+G17</f>
        <v>4844.5</v>
      </c>
      <c r="H9" s="388">
        <f>H10+H17</f>
        <v>4771.8419999999996</v>
      </c>
      <c r="I9" s="492">
        <f>H9/G9*100</f>
        <v>98.500196098668596</v>
      </c>
    </row>
    <row r="10" spans="1:9" s="191" customFormat="1" ht="31.5" hidden="1" x14ac:dyDescent="0.25">
      <c r="A10" s="34" t="s">
        <v>998</v>
      </c>
      <c r="B10" s="7" t="s">
        <v>957</v>
      </c>
      <c r="C10" s="399"/>
      <c r="D10" s="399"/>
      <c r="E10" s="399"/>
      <c r="F10" s="399"/>
      <c r="G10" s="389">
        <f>G13</f>
        <v>0</v>
      </c>
      <c r="H10" s="389">
        <f>H13</f>
        <v>0</v>
      </c>
      <c r="I10" s="492">
        <f t="shared" ref="I10" si="0">I13</f>
        <v>0</v>
      </c>
    </row>
    <row r="11" spans="1:9" ht="15.75" hidden="1" x14ac:dyDescent="0.25">
      <c r="A11" s="29" t="s">
        <v>232</v>
      </c>
      <c r="B11" s="399" t="s">
        <v>957</v>
      </c>
      <c r="C11" s="399" t="s">
        <v>150</v>
      </c>
      <c r="D11" s="399"/>
      <c r="E11" s="399"/>
      <c r="F11" s="399"/>
      <c r="G11" s="389">
        <f t="shared" ref="G11:H11" si="1">G12</f>
        <v>0</v>
      </c>
      <c r="H11" s="389">
        <f t="shared" si="1"/>
        <v>0</v>
      </c>
      <c r="I11" s="492">
        <f t="shared" ref="I11:I14" si="2">I12</f>
        <v>0</v>
      </c>
    </row>
    <row r="12" spans="1:9" ht="15.75" hidden="1" x14ac:dyDescent="0.25">
      <c r="A12" s="29" t="s">
        <v>508</v>
      </c>
      <c r="B12" s="399" t="s">
        <v>957</v>
      </c>
      <c r="C12" s="399" t="s">
        <v>150</v>
      </c>
      <c r="D12" s="399" t="s">
        <v>219</v>
      </c>
      <c r="E12" s="399"/>
      <c r="F12" s="399"/>
      <c r="G12" s="389">
        <f t="shared" ref="G12:H14" si="3">G13</f>
        <v>0</v>
      </c>
      <c r="H12" s="389">
        <f t="shared" si="3"/>
        <v>0</v>
      </c>
      <c r="I12" s="492">
        <f t="shared" si="2"/>
        <v>0</v>
      </c>
    </row>
    <row r="13" spans="1:9" s="191" customFormat="1" ht="15.75" hidden="1" x14ac:dyDescent="0.25">
      <c r="A13" s="29" t="s">
        <v>1000</v>
      </c>
      <c r="B13" s="399" t="s">
        <v>999</v>
      </c>
      <c r="C13" s="399" t="s">
        <v>150</v>
      </c>
      <c r="D13" s="399" t="s">
        <v>219</v>
      </c>
      <c r="E13" s="399"/>
      <c r="F13" s="399"/>
      <c r="G13" s="389">
        <f t="shared" si="3"/>
        <v>0</v>
      </c>
      <c r="H13" s="389">
        <f t="shared" si="3"/>
        <v>0</v>
      </c>
      <c r="I13" s="492">
        <f t="shared" si="2"/>
        <v>0</v>
      </c>
    </row>
    <row r="14" spans="1:9" s="191" customFormat="1" ht="31.5" hidden="1" x14ac:dyDescent="0.25">
      <c r="A14" s="396" t="s">
        <v>131</v>
      </c>
      <c r="B14" s="399" t="s">
        <v>999</v>
      </c>
      <c r="C14" s="399" t="s">
        <v>150</v>
      </c>
      <c r="D14" s="399" t="s">
        <v>219</v>
      </c>
      <c r="E14" s="399" t="s">
        <v>132</v>
      </c>
      <c r="F14" s="399"/>
      <c r="G14" s="389">
        <f t="shared" si="3"/>
        <v>0</v>
      </c>
      <c r="H14" s="389">
        <f t="shared" si="3"/>
        <v>0</v>
      </c>
      <c r="I14" s="492">
        <f t="shared" si="2"/>
        <v>0</v>
      </c>
    </row>
    <row r="15" spans="1:9" s="191" customFormat="1" ht="31.5" hidden="1" x14ac:dyDescent="0.25">
      <c r="A15" s="396" t="s">
        <v>133</v>
      </c>
      <c r="B15" s="399" t="s">
        <v>999</v>
      </c>
      <c r="C15" s="399" t="s">
        <v>150</v>
      </c>
      <c r="D15" s="399" t="s">
        <v>219</v>
      </c>
      <c r="E15" s="399" t="s">
        <v>134</v>
      </c>
      <c r="F15" s="399"/>
      <c r="G15" s="389">
        <f>'Пр.4 ведом.21'!G998</f>
        <v>0</v>
      </c>
      <c r="H15" s="389">
        <f>'Пр.4 ведом.21'!H998</f>
        <v>0</v>
      </c>
      <c r="I15" s="492">
        <f>'Пр.4 ведом.21'!O998</f>
        <v>0</v>
      </c>
    </row>
    <row r="16" spans="1:9" s="191" customFormat="1" ht="40.700000000000003" hidden="1" customHeight="1" x14ac:dyDescent="0.25">
      <c r="A16" s="45" t="s">
        <v>623</v>
      </c>
      <c r="B16" s="399" t="s">
        <v>999</v>
      </c>
      <c r="C16" s="399" t="s">
        <v>150</v>
      </c>
      <c r="D16" s="399" t="s">
        <v>219</v>
      </c>
      <c r="E16" s="399" t="s">
        <v>134</v>
      </c>
      <c r="F16" s="399" t="s">
        <v>624</v>
      </c>
      <c r="G16" s="389">
        <f>G15</f>
        <v>0</v>
      </c>
      <c r="H16" s="389">
        <f>H15</f>
        <v>0</v>
      </c>
      <c r="I16" s="492">
        <f t="shared" ref="I16" si="4">I15</f>
        <v>0</v>
      </c>
    </row>
    <row r="17" spans="1:9" s="191" customFormat="1" ht="31.5" x14ac:dyDescent="0.25">
      <c r="A17" s="34" t="s">
        <v>1061</v>
      </c>
      <c r="B17" s="395" t="s">
        <v>958</v>
      </c>
      <c r="C17" s="399"/>
      <c r="D17" s="399"/>
      <c r="E17" s="399"/>
      <c r="F17" s="399"/>
      <c r="G17" s="388">
        <f t="shared" ref="G17:H19" si="5">G18</f>
        <v>4844.5</v>
      </c>
      <c r="H17" s="388">
        <f t="shared" si="5"/>
        <v>4771.8419999999996</v>
      </c>
      <c r="I17" s="492">
        <f t="shared" ref="I17:I80" si="6">H17/G17*100</f>
        <v>98.500196098668596</v>
      </c>
    </row>
    <row r="18" spans="1:9" s="191" customFormat="1" ht="15.75" x14ac:dyDescent="0.25">
      <c r="A18" s="29" t="s">
        <v>232</v>
      </c>
      <c r="B18" s="399" t="s">
        <v>958</v>
      </c>
      <c r="C18" s="399" t="s">
        <v>150</v>
      </c>
      <c r="D18" s="399"/>
      <c r="E18" s="399"/>
      <c r="F18" s="399"/>
      <c r="G18" s="389">
        <f t="shared" si="5"/>
        <v>4844.5</v>
      </c>
      <c r="H18" s="389">
        <f t="shared" si="5"/>
        <v>4771.8419999999996</v>
      </c>
      <c r="I18" s="389">
        <f t="shared" si="6"/>
        <v>98.500196098668596</v>
      </c>
    </row>
    <row r="19" spans="1:9" s="191" customFormat="1" ht="15.75" x14ac:dyDescent="0.25">
      <c r="A19" s="29" t="s">
        <v>508</v>
      </c>
      <c r="B19" s="399" t="s">
        <v>958</v>
      </c>
      <c r="C19" s="399" t="s">
        <v>150</v>
      </c>
      <c r="D19" s="399" t="s">
        <v>219</v>
      </c>
      <c r="E19" s="399"/>
      <c r="F19" s="399"/>
      <c r="G19" s="389">
        <f t="shared" si="5"/>
        <v>4844.5</v>
      </c>
      <c r="H19" s="389">
        <f t="shared" si="5"/>
        <v>4771.8419999999996</v>
      </c>
      <c r="I19" s="389">
        <f t="shared" si="6"/>
        <v>98.500196098668596</v>
      </c>
    </row>
    <row r="20" spans="1:9" ht="15.75" x14ac:dyDescent="0.25">
      <c r="A20" s="29" t="s">
        <v>511</v>
      </c>
      <c r="B20" s="399" t="s">
        <v>1001</v>
      </c>
      <c r="C20" s="399" t="s">
        <v>150</v>
      </c>
      <c r="D20" s="399" t="s">
        <v>219</v>
      </c>
      <c r="E20" s="399"/>
      <c r="F20" s="399"/>
      <c r="G20" s="389">
        <f>G24+G27+G22</f>
        <v>4844.5</v>
      </c>
      <c r="H20" s="389">
        <f>H24+H27+H22</f>
        <v>4771.8419999999996</v>
      </c>
      <c r="I20" s="389">
        <f t="shared" si="6"/>
        <v>98.500196098668596</v>
      </c>
    </row>
    <row r="21" spans="1:9" s="191" customFormat="1" ht="78.75" x14ac:dyDescent="0.25">
      <c r="A21" s="396" t="s">
        <v>127</v>
      </c>
      <c r="B21" s="399" t="s">
        <v>1001</v>
      </c>
      <c r="C21" s="399" t="s">
        <v>150</v>
      </c>
      <c r="D21" s="399" t="s">
        <v>219</v>
      </c>
      <c r="E21" s="399" t="s">
        <v>128</v>
      </c>
      <c r="F21" s="399"/>
      <c r="G21" s="389">
        <f>G22</f>
        <v>2367.8000000000002</v>
      </c>
      <c r="H21" s="389">
        <f>H22</f>
        <v>2365.3429999999998</v>
      </c>
      <c r="I21" s="389">
        <f t="shared" si="6"/>
        <v>99.896232789931574</v>
      </c>
    </row>
    <row r="22" spans="1:9" s="191" customFormat="1" ht="15.75" x14ac:dyDescent="0.25">
      <c r="A22" s="396" t="s">
        <v>342</v>
      </c>
      <c r="B22" s="399" t="s">
        <v>1001</v>
      </c>
      <c r="C22" s="399" t="s">
        <v>150</v>
      </c>
      <c r="D22" s="399" t="s">
        <v>219</v>
      </c>
      <c r="E22" s="399" t="s">
        <v>209</v>
      </c>
      <c r="F22" s="399"/>
      <c r="G22" s="389">
        <f>'Пр.4 ведом.21'!G1002</f>
        <v>2367.8000000000002</v>
      </c>
      <c r="H22" s="389">
        <f>'Пр.4 ведом.21'!H1002</f>
        <v>2365.3429999999998</v>
      </c>
      <c r="I22" s="389">
        <f t="shared" si="6"/>
        <v>99.896232789931574</v>
      </c>
    </row>
    <row r="23" spans="1:9" s="191" customFormat="1" ht="31.5" x14ac:dyDescent="0.25">
      <c r="A23" s="45" t="s">
        <v>623</v>
      </c>
      <c r="B23" s="399" t="s">
        <v>1001</v>
      </c>
      <c r="C23" s="399" t="s">
        <v>150</v>
      </c>
      <c r="D23" s="399" t="s">
        <v>219</v>
      </c>
      <c r="E23" s="399" t="s">
        <v>209</v>
      </c>
      <c r="F23" s="399" t="s">
        <v>624</v>
      </c>
      <c r="G23" s="389">
        <f>G22</f>
        <v>2367.8000000000002</v>
      </c>
      <c r="H23" s="389">
        <f>H22</f>
        <v>2365.3429999999998</v>
      </c>
      <c r="I23" s="389">
        <f t="shared" si="6"/>
        <v>99.896232789931574</v>
      </c>
    </row>
    <row r="24" spans="1:9" ht="31.5" x14ac:dyDescent="0.25">
      <c r="A24" s="29" t="s">
        <v>131</v>
      </c>
      <c r="B24" s="399" t="s">
        <v>1001</v>
      </c>
      <c r="C24" s="399" t="s">
        <v>150</v>
      </c>
      <c r="D24" s="399" t="s">
        <v>219</v>
      </c>
      <c r="E24" s="399" t="s">
        <v>132</v>
      </c>
      <c r="F24" s="399"/>
      <c r="G24" s="389">
        <f t="shared" ref="G24:H24" si="7">G25</f>
        <v>2476.7000000000003</v>
      </c>
      <c r="H24" s="389">
        <f t="shared" si="7"/>
        <v>2406.4989999999998</v>
      </c>
      <c r="I24" s="389">
        <f t="shared" si="6"/>
        <v>97.165542859450056</v>
      </c>
    </row>
    <row r="25" spans="1:9" ht="31.5" x14ac:dyDescent="0.25">
      <c r="A25" s="29" t="s">
        <v>133</v>
      </c>
      <c r="B25" s="399" t="s">
        <v>1001</v>
      </c>
      <c r="C25" s="399" t="s">
        <v>150</v>
      </c>
      <c r="D25" s="399" t="s">
        <v>219</v>
      </c>
      <c r="E25" s="399" t="s">
        <v>134</v>
      </c>
      <c r="F25" s="399"/>
      <c r="G25" s="389">
        <f>'Пр.4 ведом.21'!G1004</f>
        <v>2476.7000000000003</v>
      </c>
      <c r="H25" s="389">
        <f>'Пр.4 ведом.21'!H1004</f>
        <v>2406.4989999999998</v>
      </c>
      <c r="I25" s="389">
        <f t="shared" si="6"/>
        <v>97.165542859450056</v>
      </c>
    </row>
    <row r="26" spans="1:9" s="191" customFormat="1" ht="31.5" x14ac:dyDescent="0.25">
      <c r="A26" s="45" t="s">
        <v>623</v>
      </c>
      <c r="B26" s="399" t="s">
        <v>1001</v>
      </c>
      <c r="C26" s="399" t="s">
        <v>150</v>
      </c>
      <c r="D26" s="399" t="s">
        <v>219</v>
      </c>
      <c r="E26" s="399" t="s">
        <v>134</v>
      </c>
      <c r="F26" s="399" t="s">
        <v>624</v>
      </c>
      <c r="G26" s="389">
        <f>G25</f>
        <v>2476.7000000000003</v>
      </c>
      <c r="H26" s="389">
        <f>H25</f>
        <v>2406.4989999999998</v>
      </c>
      <c r="I26" s="389">
        <f t="shared" si="6"/>
        <v>97.165542859450056</v>
      </c>
    </row>
    <row r="27" spans="1:9" ht="15.75" hidden="1" x14ac:dyDescent="0.25">
      <c r="A27" s="396" t="s">
        <v>135</v>
      </c>
      <c r="B27" s="399" t="s">
        <v>1001</v>
      </c>
      <c r="C27" s="399" t="s">
        <v>150</v>
      </c>
      <c r="D27" s="399" t="s">
        <v>219</v>
      </c>
      <c r="E27" s="399" t="s">
        <v>145</v>
      </c>
      <c r="F27" s="399"/>
      <c r="G27" s="389">
        <f t="shared" ref="G27:H27" si="8">G28</f>
        <v>0</v>
      </c>
      <c r="H27" s="389">
        <f t="shared" si="8"/>
        <v>0</v>
      </c>
      <c r="I27" s="389" t="e">
        <f t="shared" si="6"/>
        <v>#DIV/0!</v>
      </c>
    </row>
    <row r="28" spans="1:9" ht="15.75" hidden="1" x14ac:dyDescent="0.25">
      <c r="A28" s="396" t="s">
        <v>137</v>
      </c>
      <c r="B28" s="399" t="s">
        <v>1001</v>
      </c>
      <c r="C28" s="399" t="s">
        <v>150</v>
      </c>
      <c r="D28" s="399" t="s">
        <v>219</v>
      </c>
      <c r="E28" s="399" t="s">
        <v>138</v>
      </c>
      <c r="F28" s="399"/>
      <c r="G28" s="389">
        <f>'Пр.4 ведом.21'!G1006</f>
        <v>0</v>
      </c>
      <c r="H28" s="389">
        <f>'Пр.4 ведом.21'!H1006</f>
        <v>0</v>
      </c>
      <c r="I28" s="389" t="e">
        <f t="shared" si="6"/>
        <v>#DIV/0!</v>
      </c>
    </row>
    <row r="29" spans="1:9" ht="31.5" hidden="1" x14ac:dyDescent="0.25">
      <c r="A29" s="45" t="s">
        <v>623</v>
      </c>
      <c r="B29" s="399" t="s">
        <v>1001</v>
      </c>
      <c r="C29" s="399" t="s">
        <v>150</v>
      </c>
      <c r="D29" s="399" t="s">
        <v>219</v>
      </c>
      <c r="E29" s="399" t="s">
        <v>138</v>
      </c>
      <c r="F29" s="399" t="s">
        <v>624</v>
      </c>
      <c r="G29" s="389">
        <f>G28</f>
        <v>0</v>
      </c>
      <c r="H29" s="389">
        <f>H28</f>
        <v>0</v>
      </c>
      <c r="I29" s="389" t="e">
        <f t="shared" si="6"/>
        <v>#DIV/0!</v>
      </c>
    </row>
    <row r="30" spans="1:9" ht="47.25" x14ac:dyDescent="0.25">
      <c r="A30" s="58" t="s">
        <v>1394</v>
      </c>
      <c r="B30" s="7" t="s">
        <v>344</v>
      </c>
      <c r="C30" s="7"/>
      <c r="D30" s="7"/>
      <c r="E30" s="7"/>
      <c r="F30" s="7"/>
      <c r="G30" s="59">
        <f>G31+G64+G72+G101+G113</f>
        <v>3324.3500000000004</v>
      </c>
      <c r="H30" s="59">
        <f>H31+H64+H72+H101+H113</f>
        <v>3323.8159999999998</v>
      </c>
      <c r="I30" s="492">
        <f t="shared" si="6"/>
        <v>99.983936709431902</v>
      </c>
    </row>
    <row r="31" spans="1:9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G33+G43+G57</f>
        <v>1052.55</v>
      </c>
      <c r="H31" s="59">
        <f>H33+H43+H57</f>
        <v>1052.3110000000001</v>
      </c>
      <c r="I31" s="492">
        <f t="shared" si="6"/>
        <v>99.977293240226146</v>
      </c>
    </row>
    <row r="32" spans="1:9" s="191" customFormat="1" ht="47.25" x14ac:dyDescent="0.25">
      <c r="A32" s="195" t="s">
        <v>1029</v>
      </c>
      <c r="B32" s="395" t="s">
        <v>891</v>
      </c>
      <c r="C32" s="7"/>
      <c r="D32" s="7"/>
      <c r="E32" s="399"/>
      <c r="F32" s="399"/>
      <c r="G32" s="59">
        <f>G33</f>
        <v>267.3</v>
      </c>
      <c r="H32" s="59">
        <f>H33</f>
        <v>267.17700000000002</v>
      </c>
      <c r="I32" s="492">
        <f t="shared" si="6"/>
        <v>99.953984287317624</v>
      </c>
    </row>
    <row r="33" spans="1:9" ht="15.75" x14ac:dyDescent="0.25">
      <c r="A33" s="45" t="s">
        <v>263</v>
      </c>
      <c r="B33" s="399" t="s">
        <v>891</v>
      </c>
      <c r="C33" s="399" t="s">
        <v>264</v>
      </c>
      <c r="D33" s="399"/>
      <c r="E33" s="399"/>
      <c r="F33" s="399"/>
      <c r="G33" s="10">
        <f t="shared" ref="G33:H33" si="9">G34</f>
        <v>267.3</v>
      </c>
      <c r="H33" s="10">
        <f t="shared" si="9"/>
        <v>267.17700000000002</v>
      </c>
      <c r="I33" s="389">
        <f t="shared" si="6"/>
        <v>99.953984287317624</v>
      </c>
    </row>
    <row r="34" spans="1:9" ht="15.75" x14ac:dyDescent="0.25">
      <c r="A34" s="45" t="s">
        <v>466</v>
      </c>
      <c r="B34" s="399" t="s">
        <v>891</v>
      </c>
      <c r="C34" s="399" t="s">
        <v>264</v>
      </c>
      <c r="D34" s="399" t="s">
        <v>264</v>
      </c>
      <c r="E34" s="399"/>
      <c r="F34" s="399"/>
      <c r="G34" s="10">
        <f>G35+G39</f>
        <v>267.3</v>
      </c>
      <c r="H34" s="10">
        <f>H35+H39</f>
        <v>267.17700000000002</v>
      </c>
      <c r="I34" s="389">
        <f t="shared" si="6"/>
        <v>99.953984287317624</v>
      </c>
    </row>
    <row r="35" spans="1:9" s="191" customFormat="1" ht="31.5" x14ac:dyDescent="0.25">
      <c r="A35" s="98" t="s">
        <v>1035</v>
      </c>
      <c r="B35" s="392" t="s">
        <v>892</v>
      </c>
      <c r="C35" s="399" t="s">
        <v>264</v>
      </c>
      <c r="D35" s="399" t="s">
        <v>264</v>
      </c>
      <c r="E35" s="399"/>
      <c r="F35" s="399"/>
      <c r="G35" s="10">
        <f>G36</f>
        <v>267.3</v>
      </c>
      <c r="H35" s="10">
        <f>H36</f>
        <v>267.17700000000002</v>
      </c>
      <c r="I35" s="389">
        <f t="shared" si="6"/>
        <v>99.953984287317624</v>
      </c>
    </row>
    <row r="36" spans="1:9" s="191" customFormat="1" ht="78.75" x14ac:dyDescent="0.25">
      <c r="A36" s="396" t="s">
        <v>127</v>
      </c>
      <c r="B36" s="392" t="s">
        <v>892</v>
      </c>
      <c r="C36" s="399" t="s">
        <v>264</v>
      </c>
      <c r="D36" s="399" t="s">
        <v>264</v>
      </c>
      <c r="E36" s="399" t="s">
        <v>128</v>
      </c>
      <c r="F36" s="399"/>
      <c r="G36" s="10">
        <f>G37</f>
        <v>267.3</v>
      </c>
      <c r="H36" s="10">
        <f>H37</f>
        <v>267.17700000000002</v>
      </c>
      <c r="I36" s="389">
        <f t="shared" si="6"/>
        <v>99.953984287317624</v>
      </c>
    </row>
    <row r="37" spans="1:9" s="191" customFormat="1" ht="15.75" x14ac:dyDescent="0.25">
      <c r="A37" s="396" t="s">
        <v>342</v>
      </c>
      <c r="B37" s="392" t="s">
        <v>892</v>
      </c>
      <c r="C37" s="399" t="s">
        <v>264</v>
      </c>
      <c r="D37" s="399" t="s">
        <v>264</v>
      </c>
      <c r="E37" s="399" t="s">
        <v>209</v>
      </c>
      <c r="F37" s="399"/>
      <c r="G37" s="10">
        <f>'Пр.4 ведом.21'!G374</f>
        <v>267.3</v>
      </c>
      <c r="H37" s="10">
        <f>'Пр.4 ведом.21'!H374</f>
        <v>267.17700000000002</v>
      </c>
      <c r="I37" s="389">
        <f t="shared" si="6"/>
        <v>99.953984287317624</v>
      </c>
    </row>
    <row r="38" spans="1:9" s="191" customFormat="1" ht="47.25" x14ac:dyDescent="0.25">
      <c r="A38" s="45" t="s">
        <v>261</v>
      </c>
      <c r="B38" s="392" t="s">
        <v>892</v>
      </c>
      <c r="C38" s="399" t="s">
        <v>264</v>
      </c>
      <c r="D38" s="399" t="s">
        <v>264</v>
      </c>
      <c r="E38" s="399" t="s">
        <v>209</v>
      </c>
      <c r="F38" s="399" t="s">
        <v>627</v>
      </c>
      <c r="G38" s="389">
        <f>G37</f>
        <v>267.3</v>
      </c>
      <c r="H38" s="389">
        <f>H37</f>
        <v>267.17700000000002</v>
      </c>
      <c r="I38" s="389">
        <f t="shared" si="6"/>
        <v>99.953984287317624</v>
      </c>
    </row>
    <row r="39" spans="1:9" s="191" customFormat="1" ht="15.75" hidden="1" x14ac:dyDescent="0.25">
      <c r="A39" s="396" t="s">
        <v>1030</v>
      </c>
      <c r="B39" s="392" t="s">
        <v>1047</v>
      </c>
      <c r="C39" s="399" t="s">
        <v>264</v>
      </c>
      <c r="D39" s="399" t="s">
        <v>264</v>
      </c>
      <c r="E39" s="399"/>
      <c r="F39" s="399"/>
      <c r="G39" s="10">
        <f>G40</f>
        <v>0</v>
      </c>
      <c r="H39" s="10">
        <f>H40</f>
        <v>0</v>
      </c>
      <c r="I39" s="389" t="e">
        <f t="shared" si="6"/>
        <v>#DIV/0!</v>
      </c>
    </row>
    <row r="40" spans="1:9" s="191" customFormat="1" ht="31.5" hidden="1" x14ac:dyDescent="0.25">
      <c r="A40" s="396" t="s">
        <v>131</v>
      </c>
      <c r="B40" s="392" t="s">
        <v>1047</v>
      </c>
      <c r="C40" s="399" t="s">
        <v>264</v>
      </c>
      <c r="D40" s="399" t="s">
        <v>264</v>
      </c>
      <c r="E40" s="399" t="s">
        <v>132</v>
      </c>
      <c r="F40" s="399"/>
      <c r="G40" s="10">
        <f>G41</f>
        <v>0</v>
      </c>
      <c r="H40" s="10">
        <f>H41</f>
        <v>0</v>
      </c>
      <c r="I40" s="389" t="e">
        <f t="shared" si="6"/>
        <v>#DIV/0!</v>
      </c>
    </row>
    <row r="41" spans="1:9" s="191" customFormat="1" ht="31.5" hidden="1" x14ac:dyDescent="0.25">
      <c r="A41" s="396" t="s">
        <v>133</v>
      </c>
      <c r="B41" s="392" t="s">
        <v>1047</v>
      </c>
      <c r="C41" s="399" t="s">
        <v>264</v>
      </c>
      <c r="D41" s="399" t="s">
        <v>264</v>
      </c>
      <c r="E41" s="399" t="s">
        <v>134</v>
      </c>
      <c r="F41" s="399"/>
      <c r="G41" s="10">
        <f>'Пр.3 Рд,пр, ЦС,ВР 21'!F798</f>
        <v>0</v>
      </c>
      <c r="H41" s="10">
        <f>'Пр.3 Рд,пр, ЦС,ВР 21'!G798</f>
        <v>0</v>
      </c>
      <c r="I41" s="389" t="e">
        <f t="shared" si="6"/>
        <v>#DIV/0!</v>
      </c>
    </row>
    <row r="42" spans="1:9" s="191" customFormat="1" ht="47.25" hidden="1" x14ac:dyDescent="0.25">
      <c r="A42" s="45" t="s">
        <v>261</v>
      </c>
      <c r="B42" s="392" t="s">
        <v>1047</v>
      </c>
      <c r="C42" s="399" t="s">
        <v>264</v>
      </c>
      <c r="D42" s="399" t="s">
        <v>264</v>
      </c>
      <c r="E42" s="399" t="s">
        <v>134</v>
      </c>
      <c r="F42" s="399" t="s">
        <v>627</v>
      </c>
      <c r="G42" s="389">
        <f>G41</f>
        <v>0</v>
      </c>
      <c r="H42" s="389">
        <f>H41</f>
        <v>0</v>
      </c>
      <c r="I42" s="389" t="e">
        <f t="shared" si="6"/>
        <v>#DIV/0!</v>
      </c>
    </row>
    <row r="43" spans="1:9" s="191" customFormat="1" ht="63" x14ac:dyDescent="0.25">
      <c r="A43" s="394" t="s">
        <v>1031</v>
      </c>
      <c r="B43" s="395" t="s">
        <v>893</v>
      </c>
      <c r="C43" s="399"/>
      <c r="D43" s="399"/>
      <c r="E43" s="399"/>
      <c r="F43" s="399"/>
      <c r="G43" s="59">
        <f>G44</f>
        <v>760.25</v>
      </c>
      <c r="H43" s="59">
        <f>H44</f>
        <v>760.13400000000001</v>
      </c>
      <c r="I43" s="492">
        <f t="shared" si="6"/>
        <v>99.984741861229864</v>
      </c>
    </row>
    <row r="44" spans="1:9" s="191" customFormat="1" ht="15.75" x14ac:dyDescent="0.25">
      <c r="A44" s="45" t="s">
        <v>263</v>
      </c>
      <c r="B44" s="399" t="s">
        <v>893</v>
      </c>
      <c r="C44" s="399" t="s">
        <v>264</v>
      </c>
      <c r="D44" s="399"/>
      <c r="E44" s="399"/>
      <c r="F44" s="399"/>
      <c r="G44" s="10">
        <f>G45</f>
        <v>760.25</v>
      </c>
      <c r="H44" s="10">
        <f>H45</f>
        <v>760.13400000000001</v>
      </c>
      <c r="I44" s="389">
        <f t="shared" si="6"/>
        <v>99.984741861229864</v>
      </c>
    </row>
    <row r="45" spans="1:9" s="191" customFormat="1" ht="15.75" x14ac:dyDescent="0.25">
      <c r="A45" s="45" t="s">
        <v>466</v>
      </c>
      <c r="B45" s="399" t="s">
        <v>893</v>
      </c>
      <c r="C45" s="399" t="s">
        <v>264</v>
      </c>
      <c r="D45" s="399" t="s">
        <v>264</v>
      </c>
      <c r="E45" s="399"/>
      <c r="F45" s="399"/>
      <c r="G45" s="10">
        <f>G46+G50+G53</f>
        <v>760.25</v>
      </c>
      <c r="H45" s="10">
        <f>H46+H50+H53</f>
        <v>760.13400000000001</v>
      </c>
      <c r="I45" s="389">
        <f t="shared" si="6"/>
        <v>99.984741861229864</v>
      </c>
    </row>
    <row r="46" spans="1:9" ht="15.75" x14ac:dyDescent="0.25">
      <c r="A46" s="396" t="s">
        <v>1032</v>
      </c>
      <c r="B46" s="392" t="s">
        <v>900</v>
      </c>
      <c r="C46" s="399" t="s">
        <v>264</v>
      </c>
      <c r="D46" s="399" t="s">
        <v>264</v>
      </c>
      <c r="E46" s="399"/>
      <c r="F46" s="399"/>
      <c r="G46" s="10">
        <f>G47</f>
        <v>18.623000000000001</v>
      </c>
      <c r="H46" s="10">
        <f>H47</f>
        <v>18.55</v>
      </c>
      <c r="I46" s="389">
        <f t="shared" si="6"/>
        <v>99.608011598560921</v>
      </c>
    </row>
    <row r="47" spans="1:9" ht="78.75" x14ac:dyDescent="0.25">
      <c r="A47" s="396" t="s">
        <v>127</v>
      </c>
      <c r="B47" s="392" t="s">
        <v>900</v>
      </c>
      <c r="C47" s="399" t="s">
        <v>264</v>
      </c>
      <c r="D47" s="399" t="s">
        <v>264</v>
      </c>
      <c r="E47" s="399" t="s">
        <v>128</v>
      </c>
      <c r="F47" s="399"/>
      <c r="G47" s="10">
        <f t="shared" ref="G47:H47" si="10">G48</f>
        <v>18.623000000000001</v>
      </c>
      <c r="H47" s="10">
        <f t="shared" si="10"/>
        <v>18.55</v>
      </c>
      <c r="I47" s="389">
        <f t="shared" si="6"/>
        <v>99.608011598560921</v>
      </c>
    </row>
    <row r="48" spans="1:9" ht="15.75" x14ac:dyDescent="0.25">
      <c r="A48" s="396" t="s">
        <v>342</v>
      </c>
      <c r="B48" s="392" t="s">
        <v>900</v>
      </c>
      <c r="C48" s="399" t="s">
        <v>264</v>
      </c>
      <c r="D48" s="399" t="s">
        <v>264</v>
      </c>
      <c r="E48" s="399" t="s">
        <v>209</v>
      </c>
      <c r="F48" s="399"/>
      <c r="G48" s="10">
        <f>'Пр.4 ведом.21'!G381</f>
        <v>18.623000000000001</v>
      </c>
      <c r="H48" s="10">
        <f>'Пр.4 ведом.21'!H381</f>
        <v>18.55</v>
      </c>
      <c r="I48" s="389">
        <f t="shared" si="6"/>
        <v>99.608011598560921</v>
      </c>
    </row>
    <row r="49" spans="1:9" s="191" customFormat="1" ht="47.25" x14ac:dyDescent="0.25">
      <c r="A49" s="45" t="s">
        <v>261</v>
      </c>
      <c r="B49" s="392" t="s">
        <v>900</v>
      </c>
      <c r="C49" s="399" t="s">
        <v>264</v>
      </c>
      <c r="D49" s="399" t="s">
        <v>264</v>
      </c>
      <c r="E49" s="399" t="s">
        <v>209</v>
      </c>
      <c r="F49" s="399" t="s">
        <v>627</v>
      </c>
      <c r="G49" s="389">
        <f>G48</f>
        <v>18.623000000000001</v>
      </c>
      <c r="H49" s="389">
        <f>H48</f>
        <v>18.55</v>
      </c>
      <c r="I49" s="389">
        <f t="shared" si="6"/>
        <v>99.608011598560921</v>
      </c>
    </row>
    <row r="50" spans="1:9" ht="31.5" x14ac:dyDescent="0.25">
      <c r="A50" s="396" t="s">
        <v>131</v>
      </c>
      <c r="B50" s="392" t="s">
        <v>900</v>
      </c>
      <c r="C50" s="399" t="s">
        <v>264</v>
      </c>
      <c r="D50" s="399" t="s">
        <v>264</v>
      </c>
      <c r="E50" s="399" t="s">
        <v>132</v>
      </c>
      <c r="F50" s="399"/>
      <c r="G50" s="10">
        <f t="shared" ref="G50:H50" si="11">G51</f>
        <v>443.4</v>
      </c>
      <c r="H50" s="10">
        <f t="shared" si="11"/>
        <v>443.35700000000003</v>
      </c>
      <c r="I50" s="389">
        <f t="shared" si="6"/>
        <v>99.990302210193974</v>
      </c>
    </row>
    <row r="51" spans="1:9" ht="31.5" x14ac:dyDescent="0.25">
      <c r="A51" s="396" t="s">
        <v>133</v>
      </c>
      <c r="B51" s="392" t="s">
        <v>900</v>
      </c>
      <c r="C51" s="399" t="s">
        <v>264</v>
      </c>
      <c r="D51" s="399" t="s">
        <v>264</v>
      </c>
      <c r="E51" s="399" t="s">
        <v>134</v>
      </c>
      <c r="F51" s="399"/>
      <c r="G51" s="389">
        <f>'Пр.4 ведом.21'!G383</f>
        <v>443.4</v>
      </c>
      <c r="H51" s="389">
        <f>'Пр.4 ведом.21'!H383</f>
        <v>443.35700000000003</v>
      </c>
      <c r="I51" s="389">
        <f t="shared" si="6"/>
        <v>99.990302210193974</v>
      </c>
    </row>
    <row r="52" spans="1:9" s="191" customFormat="1" ht="47.25" x14ac:dyDescent="0.25">
      <c r="A52" s="45" t="s">
        <v>261</v>
      </c>
      <c r="B52" s="392" t="s">
        <v>900</v>
      </c>
      <c r="C52" s="399" t="s">
        <v>264</v>
      </c>
      <c r="D52" s="399" t="s">
        <v>264</v>
      </c>
      <c r="E52" s="399" t="s">
        <v>134</v>
      </c>
      <c r="F52" s="399" t="s">
        <v>627</v>
      </c>
      <c r="G52" s="389">
        <f>G51</f>
        <v>443.4</v>
      </c>
      <c r="H52" s="389">
        <f>H51</f>
        <v>443.35700000000003</v>
      </c>
      <c r="I52" s="389">
        <f t="shared" si="6"/>
        <v>99.990302210193974</v>
      </c>
    </row>
    <row r="53" spans="1:9" s="387" customFormat="1" ht="15.75" x14ac:dyDescent="0.25">
      <c r="A53" s="396" t="s">
        <v>1654</v>
      </c>
      <c r="B53" s="392" t="s">
        <v>1655</v>
      </c>
      <c r="C53" s="399" t="s">
        <v>264</v>
      </c>
      <c r="D53" s="399" t="s">
        <v>264</v>
      </c>
      <c r="E53" s="399"/>
      <c r="F53" s="399"/>
      <c r="G53" s="389">
        <f>G54</f>
        <v>298.22699999999998</v>
      </c>
      <c r="H53" s="389">
        <f>H54</f>
        <v>298.22699999999998</v>
      </c>
      <c r="I53" s="389">
        <f t="shared" si="6"/>
        <v>100</v>
      </c>
    </row>
    <row r="54" spans="1:9" s="387" customFormat="1" ht="31.5" x14ac:dyDescent="0.25">
      <c r="A54" s="396" t="s">
        <v>131</v>
      </c>
      <c r="B54" s="392" t="s">
        <v>1655</v>
      </c>
      <c r="C54" s="399" t="s">
        <v>264</v>
      </c>
      <c r="D54" s="399" t="s">
        <v>264</v>
      </c>
      <c r="E54" s="399" t="s">
        <v>132</v>
      </c>
      <c r="F54" s="399"/>
      <c r="G54" s="389">
        <f>G55</f>
        <v>298.22699999999998</v>
      </c>
      <c r="H54" s="389">
        <f>H55</f>
        <v>298.22699999999998</v>
      </c>
      <c r="I54" s="389">
        <f t="shared" si="6"/>
        <v>100</v>
      </c>
    </row>
    <row r="55" spans="1:9" s="387" customFormat="1" ht="31.5" x14ac:dyDescent="0.25">
      <c r="A55" s="396" t="s">
        <v>133</v>
      </c>
      <c r="B55" s="392" t="s">
        <v>1655</v>
      </c>
      <c r="C55" s="399" t="s">
        <v>264</v>
      </c>
      <c r="D55" s="399" t="s">
        <v>264</v>
      </c>
      <c r="E55" s="399" t="s">
        <v>134</v>
      </c>
      <c r="F55" s="399"/>
      <c r="G55" s="389">
        <f>'Пр.4 ведом.21'!G386</f>
        <v>298.22699999999998</v>
      </c>
      <c r="H55" s="389">
        <f>'Пр.4 ведом.21'!H386</f>
        <v>298.22699999999998</v>
      </c>
      <c r="I55" s="389">
        <f t="shared" si="6"/>
        <v>100</v>
      </c>
    </row>
    <row r="56" spans="1:9" s="387" customFormat="1" ht="47.25" x14ac:dyDescent="0.25">
      <c r="A56" s="45" t="s">
        <v>261</v>
      </c>
      <c r="B56" s="392" t="s">
        <v>1655</v>
      </c>
      <c r="C56" s="399" t="s">
        <v>264</v>
      </c>
      <c r="D56" s="399" t="s">
        <v>264</v>
      </c>
      <c r="E56" s="399" t="s">
        <v>134</v>
      </c>
      <c r="F56" s="399" t="s">
        <v>627</v>
      </c>
      <c r="G56" s="389">
        <f>G55</f>
        <v>298.22699999999998</v>
      </c>
      <c r="H56" s="389">
        <f>H55</f>
        <v>298.22699999999998</v>
      </c>
      <c r="I56" s="389">
        <f t="shared" si="6"/>
        <v>100</v>
      </c>
    </row>
    <row r="57" spans="1:9" ht="33" customHeight="1" x14ac:dyDescent="0.25">
      <c r="A57" s="394" t="s">
        <v>1037</v>
      </c>
      <c r="B57" s="395" t="s">
        <v>1033</v>
      </c>
      <c r="C57" s="399"/>
      <c r="D57" s="399"/>
      <c r="E57" s="399"/>
      <c r="F57" s="399"/>
      <c r="G57" s="388">
        <f>G60</f>
        <v>25</v>
      </c>
      <c r="H57" s="388">
        <f>H60</f>
        <v>25</v>
      </c>
      <c r="I57" s="492">
        <f t="shared" si="6"/>
        <v>100</v>
      </c>
    </row>
    <row r="58" spans="1:9" s="191" customFormat="1" ht="16.5" customHeight="1" x14ac:dyDescent="0.25">
      <c r="A58" s="45" t="s">
        <v>263</v>
      </c>
      <c r="B58" s="399" t="s">
        <v>1033</v>
      </c>
      <c r="C58" s="399" t="s">
        <v>264</v>
      </c>
      <c r="D58" s="399"/>
      <c r="E58" s="399"/>
      <c r="F58" s="399"/>
      <c r="G58" s="10">
        <f>G59</f>
        <v>25</v>
      </c>
      <c r="H58" s="10">
        <f>H59</f>
        <v>25</v>
      </c>
      <c r="I58" s="389">
        <f t="shared" si="6"/>
        <v>100</v>
      </c>
    </row>
    <row r="59" spans="1:9" s="191" customFormat="1" ht="18.75" customHeight="1" x14ac:dyDescent="0.25">
      <c r="A59" s="45" t="s">
        <v>466</v>
      </c>
      <c r="B59" s="399" t="s">
        <v>1033</v>
      </c>
      <c r="C59" s="399" t="s">
        <v>264</v>
      </c>
      <c r="D59" s="399" t="s">
        <v>264</v>
      </c>
      <c r="E59" s="399"/>
      <c r="F59" s="399"/>
      <c r="G59" s="10">
        <f>G60</f>
        <v>25</v>
      </c>
      <c r="H59" s="10">
        <f>H60</f>
        <v>25</v>
      </c>
      <c r="I59" s="389">
        <f t="shared" si="6"/>
        <v>100</v>
      </c>
    </row>
    <row r="60" spans="1:9" ht="47.25" x14ac:dyDescent="0.25">
      <c r="A60" s="215" t="s">
        <v>1034</v>
      </c>
      <c r="B60" s="392" t="s">
        <v>1048</v>
      </c>
      <c r="C60" s="399" t="s">
        <v>264</v>
      </c>
      <c r="D60" s="399" t="s">
        <v>264</v>
      </c>
      <c r="E60" s="392"/>
      <c r="F60" s="399"/>
      <c r="G60" s="389">
        <f t="shared" ref="G60:H60" si="12">G61</f>
        <v>25</v>
      </c>
      <c r="H60" s="389">
        <f t="shared" si="12"/>
        <v>25</v>
      </c>
      <c r="I60" s="389">
        <f t="shared" si="6"/>
        <v>100</v>
      </c>
    </row>
    <row r="61" spans="1:9" ht="15.75" x14ac:dyDescent="0.25">
      <c r="A61" s="396" t="s">
        <v>248</v>
      </c>
      <c r="B61" s="392" t="s">
        <v>1048</v>
      </c>
      <c r="C61" s="399" t="s">
        <v>264</v>
      </c>
      <c r="D61" s="399" t="s">
        <v>264</v>
      </c>
      <c r="E61" s="392" t="s">
        <v>249</v>
      </c>
      <c r="F61" s="399"/>
      <c r="G61" s="389">
        <f>G62</f>
        <v>25</v>
      </c>
      <c r="H61" s="389">
        <f>H62</f>
        <v>25</v>
      </c>
      <c r="I61" s="389">
        <f t="shared" si="6"/>
        <v>100</v>
      </c>
    </row>
    <row r="62" spans="1:9" ht="32.25" customHeight="1" x14ac:dyDescent="0.25">
      <c r="A62" s="396" t="s">
        <v>1194</v>
      </c>
      <c r="B62" s="392" t="s">
        <v>1048</v>
      </c>
      <c r="C62" s="399" t="s">
        <v>264</v>
      </c>
      <c r="D62" s="399" t="s">
        <v>264</v>
      </c>
      <c r="E62" s="392" t="s">
        <v>1193</v>
      </c>
      <c r="F62" s="399"/>
      <c r="G62" s="10">
        <f>'Пр.4 ведом.21'!G390</f>
        <v>25</v>
      </c>
      <c r="H62" s="10">
        <f>'Пр.4 ведом.21'!H390</f>
        <v>25</v>
      </c>
      <c r="I62" s="389">
        <f t="shared" si="6"/>
        <v>100</v>
      </c>
    </row>
    <row r="63" spans="1:9" s="191" customFormat="1" ht="47.25" x14ac:dyDescent="0.25">
      <c r="A63" s="45" t="s">
        <v>261</v>
      </c>
      <c r="B63" s="392" t="s">
        <v>1048</v>
      </c>
      <c r="C63" s="399" t="s">
        <v>264</v>
      </c>
      <c r="D63" s="399" t="s">
        <v>264</v>
      </c>
      <c r="E63" s="399" t="s">
        <v>1193</v>
      </c>
      <c r="F63" s="399" t="s">
        <v>627</v>
      </c>
      <c r="G63" s="389">
        <f>G62</f>
        <v>25</v>
      </c>
      <c r="H63" s="389">
        <f>H62</f>
        <v>25</v>
      </c>
      <c r="I63" s="389">
        <f t="shared" si="6"/>
        <v>100</v>
      </c>
    </row>
    <row r="64" spans="1:9" ht="31.5" hidden="1" x14ac:dyDescent="0.25">
      <c r="A64" s="58" t="s">
        <v>1395</v>
      </c>
      <c r="B64" s="7" t="s">
        <v>353</v>
      </c>
      <c r="C64" s="7"/>
      <c r="D64" s="7"/>
      <c r="E64" s="7"/>
      <c r="F64" s="7"/>
      <c r="G64" s="59">
        <f>G65</f>
        <v>0</v>
      </c>
      <c r="H64" s="59">
        <f>H65</f>
        <v>0</v>
      </c>
      <c r="I64" s="389" t="e">
        <f t="shared" si="6"/>
        <v>#DIV/0!</v>
      </c>
    </row>
    <row r="65" spans="1:9" s="191" customFormat="1" ht="31.5" hidden="1" x14ac:dyDescent="0.25">
      <c r="A65" s="394" t="s">
        <v>904</v>
      </c>
      <c r="B65" s="395" t="s">
        <v>903</v>
      </c>
      <c r="C65" s="7"/>
      <c r="D65" s="7"/>
      <c r="E65" s="7"/>
      <c r="F65" s="7"/>
      <c r="G65" s="59">
        <f>G66</f>
        <v>0</v>
      </c>
      <c r="H65" s="59">
        <f>H66</f>
        <v>0</v>
      </c>
      <c r="I65" s="389" t="e">
        <f t="shared" si="6"/>
        <v>#DIV/0!</v>
      </c>
    </row>
    <row r="66" spans="1:9" ht="15.75" hidden="1" x14ac:dyDescent="0.25">
      <c r="A66" s="45" t="s">
        <v>243</v>
      </c>
      <c r="B66" s="399" t="s">
        <v>903</v>
      </c>
      <c r="C66" s="399" t="s">
        <v>244</v>
      </c>
      <c r="D66" s="399"/>
      <c r="E66" s="399"/>
      <c r="F66" s="399"/>
      <c r="G66" s="10">
        <f t="shared" ref="G66:H69" si="13">G67</f>
        <v>0</v>
      </c>
      <c r="H66" s="10">
        <f t="shared" si="13"/>
        <v>0</v>
      </c>
      <c r="I66" s="389" t="e">
        <f t="shared" si="6"/>
        <v>#DIV/0!</v>
      </c>
    </row>
    <row r="67" spans="1:9" ht="15.75" hidden="1" x14ac:dyDescent="0.25">
      <c r="A67" s="45" t="s">
        <v>252</v>
      </c>
      <c r="B67" s="399" t="s">
        <v>903</v>
      </c>
      <c r="C67" s="399" t="s">
        <v>244</v>
      </c>
      <c r="D67" s="399" t="s">
        <v>215</v>
      </c>
      <c r="E67" s="399"/>
      <c r="F67" s="399"/>
      <c r="G67" s="10">
        <f>G68</f>
        <v>0</v>
      </c>
      <c r="H67" s="10">
        <f>H68</f>
        <v>0</v>
      </c>
      <c r="I67" s="389" t="e">
        <f t="shared" si="6"/>
        <v>#DIV/0!</v>
      </c>
    </row>
    <row r="68" spans="1:9" ht="31.5" hidden="1" x14ac:dyDescent="0.25">
      <c r="A68" s="396" t="s">
        <v>823</v>
      </c>
      <c r="B68" s="392" t="s">
        <v>905</v>
      </c>
      <c r="C68" s="399" t="s">
        <v>244</v>
      </c>
      <c r="D68" s="399" t="s">
        <v>215</v>
      </c>
      <c r="E68" s="399"/>
      <c r="F68" s="399"/>
      <c r="G68" s="10">
        <f t="shared" si="13"/>
        <v>0</v>
      </c>
      <c r="H68" s="10">
        <f t="shared" si="13"/>
        <v>0</v>
      </c>
      <c r="I68" s="389" t="e">
        <f t="shared" si="6"/>
        <v>#DIV/0!</v>
      </c>
    </row>
    <row r="69" spans="1:9" ht="15.75" hidden="1" x14ac:dyDescent="0.25">
      <c r="A69" s="29" t="s">
        <v>248</v>
      </c>
      <c r="B69" s="392" t="s">
        <v>905</v>
      </c>
      <c r="C69" s="399" t="s">
        <v>244</v>
      </c>
      <c r="D69" s="399" t="s">
        <v>215</v>
      </c>
      <c r="E69" s="399" t="s">
        <v>249</v>
      </c>
      <c r="F69" s="399"/>
      <c r="G69" s="10">
        <f t="shared" si="13"/>
        <v>0</v>
      </c>
      <c r="H69" s="10">
        <f t="shared" si="13"/>
        <v>0</v>
      </c>
      <c r="I69" s="389" t="e">
        <f t="shared" si="6"/>
        <v>#DIV/0!</v>
      </c>
    </row>
    <row r="70" spans="1:9" ht="31.5" hidden="1" x14ac:dyDescent="0.25">
      <c r="A70" s="29" t="s">
        <v>250</v>
      </c>
      <c r="B70" s="392" t="s">
        <v>905</v>
      </c>
      <c r="C70" s="399" t="s">
        <v>244</v>
      </c>
      <c r="D70" s="399" t="s">
        <v>215</v>
      </c>
      <c r="E70" s="399" t="s">
        <v>251</v>
      </c>
      <c r="F70" s="399"/>
      <c r="G70" s="10">
        <f>'Пр.4 ведом.21'!G510</f>
        <v>0</v>
      </c>
      <c r="H70" s="10">
        <f>'Пр.4 ведом.21'!H510</f>
        <v>0</v>
      </c>
      <c r="I70" s="389" t="e">
        <f t="shared" si="6"/>
        <v>#DIV/0!</v>
      </c>
    </row>
    <row r="71" spans="1:9" ht="47.25" hidden="1" x14ac:dyDescent="0.25">
      <c r="A71" s="45" t="s">
        <v>261</v>
      </c>
      <c r="B71" s="392" t="s">
        <v>905</v>
      </c>
      <c r="C71" s="399" t="s">
        <v>244</v>
      </c>
      <c r="D71" s="399" t="s">
        <v>215</v>
      </c>
      <c r="E71" s="399" t="s">
        <v>251</v>
      </c>
      <c r="F71" s="399" t="s">
        <v>627</v>
      </c>
      <c r="G71" s="10">
        <f t="shared" ref="G71:H71" si="14">G64</f>
        <v>0</v>
      </c>
      <c r="H71" s="10">
        <f t="shared" si="14"/>
        <v>0</v>
      </c>
      <c r="I71" s="389" t="e">
        <f t="shared" si="6"/>
        <v>#DIV/0!</v>
      </c>
    </row>
    <row r="72" spans="1:9" s="191" customFormat="1" ht="54" hidden="1" customHeight="1" x14ac:dyDescent="0.25">
      <c r="A72" s="400" t="s">
        <v>1396</v>
      </c>
      <c r="B72" s="7" t="s">
        <v>356</v>
      </c>
      <c r="C72" s="7"/>
      <c r="D72" s="7"/>
      <c r="E72" s="7"/>
      <c r="F72" s="7"/>
      <c r="G72" s="59">
        <f>G73+G80+G87+G94</f>
        <v>0</v>
      </c>
      <c r="H72" s="59">
        <f>H73+H80+H87+H94</f>
        <v>0</v>
      </c>
      <c r="I72" s="389" t="e">
        <f t="shared" si="6"/>
        <v>#DIV/0!</v>
      </c>
    </row>
    <row r="73" spans="1:9" s="191" customFormat="1" ht="47.25" hidden="1" x14ac:dyDescent="0.25">
      <c r="A73" s="199" t="s">
        <v>1043</v>
      </c>
      <c r="B73" s="395" t="s">
        <v>906</v>
      </c>
      <c r="C73" s="7"/>
      <c r="D73" s="7"/>
      <c r="E73" s="7"/>
      <c r="F73" s="7"/>
      <c r="G73" s="59">
        <f t="shared" ref="G73:H77" si="15">G74</f>
        <v>0</v>
      </c>
      <c r="H73" s="59">
        <f t="shared" si="15"/>
        <v>0</v>
      </c>
      <c r="I73" s="389" t="e">
        <f t="shared" si="6"/>
        <v>#DIV/0!</v>
      </c>
    </row>
    <row r="74" spans="1:9" s="191" customFormat="1" ht="15.75" hidden="1" x14ac:dyDescent="0.25">
      <c r="A74" s="45" t="s">
        <v>232</v>
      </c>
      <c r="B74" s="399" t="s">
        <v>906</v>
      </c>
      <c r="C74" s="399" t="s">
        <v>150</v>
      </c>
      <c r="D74" s="399"/>
      <c r="E74" s="399"/>
      <c r="F74" s="399"/>
      <c r="G74" s="10">
        <f t="shared" si="15"/>
        <v>0</v>
      </c>
      <c r="H74" s="10">
        <f t="shared" si="15"/>
        <v>0</v>
      </c>
      <c r="I74" s="389" t="e">
        <f t="shared" si="6"/>
        <v>#DIV/0!</v>
      </c>
    </row>
    <row r="75" spans="1:9" s="191" customFormat="1" ht="15.75" hidden="1" x14ac:dyDescent="0.25">
      <c r="A75" s="45" t="s">
        <v>237</v>
      </c>
      <c r="B75" s="399" t="s">
        <v>906</v>
      </c>
      <c r="C75" s="399" t="s">
        <v>150</v>
      </c>
      <c r="D75" s="399" t="s">
        <v>238</v>
      </c>
      <c r="E75" s="399"/>
      <c r="F75" s="399"/>
      <c r="G75" s="10">
        <f t="shared" si="15"/>
        <v>0</v>
      </c>
      <c r="H75" s="10">
        <f t="shared" si="15"/>
        <v>0</v>
      </c>
      <c r="I75" s="389" t="e">
        <f t="shared" si="6"/>
        <v>#DIV/0!</v>
      </c>
    </row>
    <row r="76" spans="1:9" s="191" customFormat="1" ht="47.25" hidden="1" x14ac:dyDescent="0.25">
      <c r="A76" s="396" t="s">
        <v>375</v>
      </c>
      <c r="B76" s="392" t="s">
        <v>1314</v>
      </c>
      <c r="C76" s="399" t="s">
        <v>150</v>
      </c>
      <c r="D76" s="399" t="s">
        <v>238</v>
      </c>
      <c r="E76" s="399"/>
      <c r="F76" s="399"/>
      <c r="G76" s="10">
        <f t="shared" si="15"/>
        <v>0</v>
      </c>
      <c r="H76" s="10">
        <f t="shared" si="15"/>
        <v>0</v>
      </c>
      <c r="I76" s="389" t="e">
        <f t="shared" si="6"/>
        <v>#DIV/0!</v>
      </c>
    </row>
    <row r="77" spans="1:9" s="191" customFormat="1" ht="15.75" hidden="1" x14ac:dyDescent="0.25">
      <c r="A77" s="396" t="s">
        <v>248</v>
      </c>
      <c r="B77" s="392" t="s">
        <v>1314</v>
      </c>
      <c r="C77" s="399" t="s">
        <v>150</v>
      </c>
      <c r="D77" s="399" t="s">
        <v>238</v>
      </c>
      <c r="E77" s="399" t="s">
        <v>249</v>
      </c>
      <c r="F77" s="399"/>
      <c r="G77" s="10">
        <f t="shared" si="15"/>
        <v>0</v>
      </c>
      <c r="H77" s="10">
        <f t="shared" si="15"/>
        <v>0</v>
      </c>
      <c r="I77" s="389" t="e">
        <f t="shared" si="6"/>
        <v>#DIV/0!</v>
      </c>
    </row>
    <row r="78" spans="1:9" s="191" customFormat="1" ht="31.5" hidden="1" x14ac:dyDescent="0.25">
      <c r="A78" s="396" t="s">
        <v>250</v>
      </c>
      <c r="B78" s="392" t="s">
        <v>1314</v>
      </c>
      <c r="C78" s="399" t="s">
        <v>150</v>
      </c>
      <c r="D78" s="399" t="s">
        <v>238</v>
      </c>
      <c r="E78" s="399" t="s">
        <v>251</v>
      </c>
      <c r="F78" s="399"/>
      <c r="G78" s="10">
        <f>'Пр.4 ведом.21'!G305</f>
        <v>0</v>
      </c>
      <c r="H78" s="10">
        <f>'Пр.4 ведом.21'!H305</f>
        <v>0</v>
      </c>
      <c r="I78" s="389" t="e">
        <f t="shared" si="6"/>
        <v>#DIV/0!</v>
      </c>
    </row>
    <row r="79" spans="1:9" s="191" customFormat="1" ht="47.25" hidden="1" x14ac:dyDescent="0.25">
      <c r="A79" s="45" t="s">
        <v>261</v>
      </c>
      <c r="B79" s="392" t="s">
        <v>1314</v>
      </c>
      <c r="C79" s="399" t="s">
        <v>150</v>
      </c>
      <c r="D79" s="399" t="s">
        <v>238</v>
      </c>
      <c r="E79" s="399" t="s">
        <v>251</v>
      </c>
      <c r="F79" s="399" t="s">
        <v>627</v>
      </c>
      <c r="G79" s="10">
        <f>G78</f>
        <v>0</v>
      </c>
      <c r="H79" s="10">
        <f>H78</f>
        <v>0</v>
      </c>
      <c r="I79" s="389" t="e">
        <f t="shared" si="6"/>
        <v>#DIV/0!</v>
      </c>
    </row>
    <row r="80" spans="1:9" s="191" customFormat="1" ht="31.5" hidden="1" x14ac:dyDescent="0.25">
      <c r="A80" s="394" t="s">
        <v>1041</v>
      </c>
      <c r="B80" s="7" t="s">
        <v>1197</v>
      </c>
      <c r="C80" s="7"/>
      <c r="D80" s="7"/>
      <c r="E80" s="7"/>
      <c r="F80" s="7"/>
      <c r="G80" s="59">
        <f t="shared" ref="G80:H84" si="16">G81</f>
        <v>0</v>
      </c>
      <c r="H80" s="59">
        <f t="shared" si="16"/>
        <v>0</v>
      </c>
      <c r="I80" s="389" t="e">
        <f t="shared" si="6"/>
        <v>#DIV/0!</v>
      </c>
    </row>
    <row r="81" spans="1:9" s="191" customFormat="1" ht="15.75" hidden="1" x14ac:dyDescent="0.25">
      <c r="A81" s="45" t="s">
        <v>232</v>
      </c>
      <c r="B81" s="399" t="s">
        <v>1197</v>
      </c>
      <c r="C81" s="399" t="s">
        <v>150</v>
      </c>
      <c r="D81" s="399"/>
      <c r="E81" s="399"/>
      <c r="F81" s="399"/>
      <c r="G81" s="10">
        <f t="shared" si="16"/>
        <v>0</v>
      </c>
      <c r="H81" s="10">
        <f t="shared" si="16"/>
        <v>0</v>
      </c>
      <c r="I81" s="389" t="e">
        <f t="shared" ref="I81:I144" si="17">H81/G81*100</f>
        <v>#DIV/0!</v>
      </c>
    </row>
    <row r="82" spans="1:9" s="191" customFormat="1" ht="15.75" hidden="1" x14ac:dyDescent="0.25">
      <c r="A82" s="45" t="s">
        <v>237</v>
      </c>
      <c r="B82" s="399" t="s">
        <v>1197</v>
      </c>
      <c r="C82" s="399" t="s">
        <v>150</v>
      </c>
      <c r="D82" s="399" t="s">
        <v>238</v>
      </c>
      <c r="E82" s="399"/>
      <c r="F82" s="399"/>
      <c r="G82" s="10">
        <f t="shared" si="16"/>
        <v>0</v>
      </c>
      <c r="H82" s="10">
        <f t="shared" si="16"/>
        <v>0</v>
      </c>
      <c r="I82" s="389" t="e">
        <f t="shared" si="17"/>
        <v>#DIV/0!</v>
      </c>
    </row>
    <row r="83" spans="1:9" s="191" customFormat="1" ht="110.25" hidden="1" x14ac:dyDescent="0.25">
      <c r="A83" s="396" t="s">
        <v>1485</v>
      </c>
      <c r="B83" s="392" t="s">
        <v>1198</v>
      </c>
      <c r="C83" s="399" t="s">
        <v>150</v>
      </c>
      <c r="D83" s="399" t="s">
        <v>238</v>
      </c>
      <c r="E83" s="399"/>
      <c r="F83" s="399"/>
      <c r="G83" s="10">
        <f t="shared" si="16"/>
        <v>0</v>
      </c>
      <c r="H83" s="10">
        <f t="shared" si="16"/>
        <v>0</v>
      </c>
      <c r="I83" s="389" t="e">
        <f t="shared" si="17"/>
        <v>#DIV/0!</v>
      </c>
    </row>
    <row r="84" spans="1:9" s="191" customFormat="1" ht="31.5" hidden="1" x14ac:dyDescent="0.25">
      <c r="A84" s="396" t="s">
        <v>272</v>
      </c>
      <c r="B84" s="392" t="s">
        <v>1198</v>
      </c>
      <c r="C84" s="399" t="s">
        <v>150</v>
      </c>
      <c r="D84" s="399" t="s">
        <v>238</v>
      </c>
      <c r="E84" s="399" t="s">
        <v>273</v>
      </c>
      <c r="F84" s="399"/>
      <c r="G84" s="10">
        <f t="shared" si="16"/>
        <v>0</v>
      </c>
      <c r="H84" s="10">
        <f t="shared" si="16"/>
        <v>0</v>
      </c>
      <c r="I84" s="389" t="e">
        <f t="shared" si="17"/>
        <v>#DIV/0!</v>
      </c>
    </row>
    <row r="85" spans="1:9" s="191" customFormat="1" ht="63" hidden="1" x14ac:dyDescent="0.25">
      <c r="A85" s="396" t="s">
        <v>1090</v>
      </c>
      <c r="B85" s="392" t="s">
        <v>1198</v>
      </c>
      <c r="C85" s="399" t="s">
        <v>150</v>
      </c>
      <c r="D85" s="399" t="s">
        <v>238</v>
      </c>
      <c r="E85" s="399" t="s">
        <v>372</v>
      </c>
      <c r="F85" s="399"/>
      <c r="G85" s="10">
        <f>'Пр.4 ведом.21'!G309</f>
        <v>0</v>
      </c>
      <c r="H85" s="10">
        <f>'Пр.4 ведом.21'!H309</f>
        <v>0</v>
      </c>
      <c r="I85" s="389" t="e">
        <f t="shared" si="17"/>
        <v>#DIV/0!</v>
      </c>
    </row>
    <row r="86" spans="1:9" s="191" customFormat="1" ht="47.25" hidden="1" x14ac:dyDescent="0.25">
      <c r="A86" s="45" t="s">
        <v>261</v>
      </c>
      <c r="B86" s="392" t="s">
        <v>1198</v>
      </c>
      <c r="C86" s="399" t="s">
        <v>150</v>
      </c>
      <c r="D86" s="399" t="s">
        <v>238</v>
      </c>
      <c r="E86" s="399" t="s">
        <v>372</v>
      </c>
      <c r="F86" s="399" t="s">
        <v>627</v>
      </c>
      <c r="G86" s="10">
        <f>G85</f>
        <v>0</v>
      </c>
      <c r="H86" s="10">
        <f>H85</f>
        <v>0</v>
      </c>
      <c r="I86" s="389" t="e">
        <f t="shared" si="17"/>
        <v>#DIV/0!</v>
      </c>
    </row>
    <row r="87" spans="1:9" s="191" customFormat="1" ht="31.5" hidden="1" x14ac:dyDescent="0.25">
      <c r="A87" s="394" t="s">
        <v>994</v>
      </c>
      <c r="B87" s="395" t="s">
        <v>1307</v>
      </c>
      <c r="C87" s="7"/>
      <c r="D87" s="7"/>
      <c r="E87" s="7"/>
      <c r="F87" s="7"/>
      <c r="G87" s="59">
        <f t="shared" ref="G87:H91" si="18">G88</f>
        <v>0</v>
      </c>
      <c r="H87" s="59">
        <f t="shared" si="18"/>
        <v>0</v>
      </c>
      <c r="I87" s="389" t="e">
        <f t="shared" si="17"/>
        <v>#DIV/0!</v>
      </c>
    </row>
    <row r="88" spans="1:9" s="191" customFormat="1" ht="15.75" hidden="1" x14ac:dyDescent="0.25">
      <c r="A88" s="45" t="s">
        <v>232</v>
      </c>
      <c r="B88" s="399" t="s">
        <v>1307</v>
      </c>
      <c r="C88" s="399" t="s">
        <v>150</v>
      </c>
      <c r="D88" s="399"/>
      <c r="E88" s="399"/>
      <c r="F88" s="399"/>
      <c r="G88" s="10">
        <f t="shared" si="18"/>
        <v>0</v>
      </c>
      <c r="H88" s="10">
        <f t="shared" si="18"/>
        <v>0</v>
      </c>
      <c r="I88" s="389" t="e">
        <f t="shared" si="17"/>
        <v>#DIV/0!</v>
      </c>
    </row>
    <row r="89" spans="1:9" s="191" customFormat="1" ht="15.75" hidden="1" x14ac:dyDescent="0.25">
      <c r="A89" s="45" t="s">
        <v>237</v>
      </c>
      <c r="B89" s="399" t="s">
        <v>1307</v>
      </c>
      <c r="C89" s="399" t="s">
        <v>150</v>
      </c>
      <c r="D89" s="399" t="s">
        <v>238</v>
      </c>
      <c r="E89" s="399"/>
      <c r="F89" s="399"/>
      <c r="G89" s="10">
        <f t="shared" si="18"/>
        <v>0</v>
      </c>
      <c r="H89" s="10">
        <f t="shared" si="18"/>
        <v>0</v>
      </c>
      <c r="I89" s="389" t="e">
        <f t="shared" si="17"/>
        <v>#DIV/0!</v>
      </c>
    </row>
    <row r="90" spans="1:9" s="191" customFormat="1" ht="31.5" hidden="1" x14ac:dyDescent="0.25">
      <c r="A90" s="234" t="s">
        <v>1044</v>
      </c>
      <c r="B90" s="392" t="s">
        <v>1308</v>
      </c>
      <c r="C90" s="399" t="s">
        <v>150</v>
      </c>
      <c r="D90" s="399" t="s">
        <v>238</v>
      </c>
      <c r="E90" s="399"/>
      <c r="F90" s="399"/>
      <c r="G90" s="10">
        <f t="shared" si="18"/>
        <v>0</v>
      </c>
      <c r="H90" s="10">
        <f t="shared" si="18"/>
        <v>0</v>
      </c>
      <c r="I90" s="389" t="e">
        <f t="shared" si="17"/>
        <v>#DIV/0!</v>
      </c>
    </row>
    <row r="91" spans="1:9" s="191" customFormat="1" ht="31.5" hidden="1" x14ac:dyDescent="0.25">
      <c r="A91" s="396" t="s">
        <v>131</v>
      </c>
      <c r="B91" s="392" t="s">
        <v>1308</v>
      </c>
      <c r="C91" s="399" t="s">
        <v>150</v>
      </c>
      <c r="D91" s="399" t="s">
        <v>238</v>
      </c>
      <c r="E91" s="399" t="s">
        <v>132</v>
      </c>
      <c r="F91" s="399"/>
      <c r="G91" s="10">
        <f t="shared" si="18"/>
        <v>0</v>
      </c>
      <c r="H91" s="10">
        <f t="shared" si="18"/>
        <v>0</v>
      </c>
      <c r="I91" s="389" t="e">
        <f t="shared" si="17"/>
        <v>#DIV/0!</v>
      </c>
    </row>
    <row r="92" spans="1:9" s="191" customFormat="1" ht="31.5" hidden="1" x14ac:dyDescent="0.25">
      <c r="A92" s="396" t="s">
        <v>133</v>
      </c>
      <c r="B92" s="392" t="s">
        <v>1308</v>
      </c>
      <c r="C92" s="399" t="s">
        <v>150</v>
      </c>
      <c r="D92" s="399" t="s">
        <v>238</v>
      </c>
      <c r="E92" s="399" t="s">
        <v>134</v>
      </c>
      <c r="F92" s="399"/>
      <c r="G92" s="10">
        <f>'Пр.4 ведом.21'!G313</f>
        <v>0</v>
      </c>
      <c r="H92" s="10">
        <f>'Пр.4 ведом.21'!H313</f>
        <v>0</v>
      </c>
      <c r="I92" s="389" t="e">
        <f t="shared" si="17"/>
        <v>#DIV/0!</v>
      </c>
    </row>
    <row r="93" spans="1:9" s="191" customFormat="1" ht="47.25" hidden="1" x14ac:dyDescent="0.25">
      <c r="A93" s="45" t="s">
        <v>261</v>
      </c>
      <c r="B93" s="392" t="s">
        <v>1308</v>
      </c>
      <c r="C93" s="399" t="s">
        <v>150</v>
      </c>
      <c r="D93" s="399" t="s">
        <v>238</v>
      </c>
      <c r="E93" s="399" t="s">
        <v>134</v>
      </c>
      <c r="F93" s="9" t="s">
        <v>627</v>
      </c>
      <c r="G93" s="10">
        <f>G92</f>
        <v>0</v>
      </c>
      <c r="H93" s="10">
        <f>H92</f>
        <v>0</v>
      </c>
      <c r="I93" s="389" t="e">
        <f t="shared" si="17"/>
        <v>#DIV/0!</v>
      </c>
    </row>
    <row r="94" spans="1:9" s="191" customFormat="1" ht="31.5" hidden="1" x14ac:dyDescent="0.25">
      <c r="A94" s="402" t="s">
        <v>1103</v>
      </c>
      <c r="B94" s="395" t="s">
        <v>1199</v>
      </c>
      <c r="C94" s="7"/>
      <c r="D94" s="7"/>
      <c r="E94" s="7"/>
      <c r="F94" s="7"/>
      <c r="G94" s="59">
        <f t="shared" ref="G94:H98" si="19">G95</f>
        <v>0</v>
      </c>
      <c r="H94" s="59">
        <f t="shared" si="19"/>
        <v>0</v>
      </c>
      <c r="I94" s="389" t="e">
        <f t="shared" si="17"/>
        <v>#DIV/0!</v>
      </c>
    </row>
    <row r="95" spans="1:9" s="191" customFormat="1" ht="15.75" hidden="1" x14ac:dyDescent="0.25">
      <c r="A95" s="45" t="s">
        <v>232</v>
      </c>
      <c r="B95" s="399" t="s">
        <v>1199</v>
      </c>
      <c r="C95" s="399" t="s">
        <v>150</v>
      </c>
      <c r="D95" s="399"/>
      <c r="E95" s="399"/>
      <c r="F95" s="399"/>
      <c r="G95" s="10">
        <f t="shared" si="19"/>
        <v>0</v>
      </c>
      <c r="H95" s="10">
        <f t="shared" si="19"/>
        <v>0</v>
      </c>
      <c r="I95" s="389" t="e">
        <f t="shared" si="17"/>
        <v>#DIV/0!</v>
      </c>
    </row>
    <row r="96" spans="1:9" s="191" customFormat="1" ht="15.75" hidden="1" x14ac:dyDescent="0.25">
      <c r="A96" s="45" t="s">
        <v>237</v>
      </c>
      <c r="B96" s="399" t="s">
        <v>1199</v>
      </c>
      <c r="C96" s="399" t="s">
        <v>150</v>
      </c>
      <c r="D96" s="399" t="s">
        <v>238</v>
      </c>
      <c r="E96" s="399"/>
      <c r="F96" s="399"/>
      <c r="G96" s="10">
        <f t="shared" si="19"/>
        <v>0</v>
      </c>
      <c r="H96" s="10">
        <f t="shared" si="19"/>
        <v>0</v>
      </c>
      <c r="I96" s="389" t="e">
        <f t="shared" si="17"/>
        <v>#DIV/0!</v>
      </c>
    </row>
    <row r="97" spans="1:9" s="191" customFormat="1" ht="31.5" hidden="1" x14ac:dyDescent="0.25">
      <c r="A97" s="215" t="s">
        <v>1397</v>
      </c>
      <c r="B97" s="392" t="s">
        <v>1200</v>
      </c>
      <c r="C97" s="399" t="s">
        <v>150</v>
      </c>
      <c r="D97" s="399" t="s">
        <v>238</v>
      </c>
      <c r="E97" s="399"/>
      <c r="F97" s="399"/>
      <c r="G97" s="10">
        <f t="shared" si="19"/>
        <v>0</v>
      </c>
      <c r="H97" s="10">
        <f t="shared" si="19"/>
        <v>0</v>
      </c>
      <c r="I97" s="389" t="e">
        <f t="shared" si="17"/>
        <v>#DIV/0!</v>
      </c>
    </row>
    <row r="98" spans="1:9" s="191" customFormat="1" ht="31.5" hidden="1" x14ac:dyDescent="0.25">
      <c r="A98" s="396" t="s">
        <v>131</v>
      </c>
      <c r="B98" s="392" t="s">
        <v>1200</v>
      </c>
      <c r="C98" s="399" t="s">
        <v>150</v>
      </c>
      <c r="D98" s="399" t="s">
        <v>238</v>
      </c>
      <c r="E98" s="399" t="s">
        <v>132</v>
      </c>
      <c r="F98" s="399"/>
      <c r="G98" s="10">
        <f t="shared" si="19"/>
        <v>0</v>
      </c>
      <c r="H98" s="10">
        <f t="shared" si="19"/>
        <v>0</v>
      </c>
      <c r="I98" s="389" t="e">
        <f t="shared" si="17"/>
        <v>#DIV/0!</v>
      </c>
    </row>
    <row r="99" spans="1:9" s="191" customFormat="1" ht="31.5" hidden="1" x14ac:dyDescent="0.25">
      <c r="A99" s="396" t="s">
        <v>133</v>
      </c>
      <c r="B99" s="392" t="s">
        <v>1200</v>
      </c>
      <c r="C99" s="399" t="s">
        <v>150</v>
      </c>
      <c r="D99" s="399" t="s">
        <v>238</v>
      </c>
      <c r="E99" s="399" t="s">
        <v>134</v>
      </c>
      <c r="F99" s="399"/>
      <c r="G99" s="10">
        <f>'Пр.4 ведом.21'!G317</f>
        <v>0</v>
      </c>
      <c r="H99" s="10">
        <f>'Пр.4 ведом.21'!H317</f>
        <v>0</v>
      </c>
      <c r="I99" s="389" t="e">
        <f t="shared" si="17"/>
        <v>#DIV/0!</v>
      </c>
    </row>
    <row r="100" spans="1:9" s="191" customFormat="1" ht="47.25" hidden="1" x14ac:dyDescent="0.25">
      <c r="A100" s="45" t="s">
        <v>261</v>
      </c>
      <c r="B100" s="392" t="s">
        <v>1200</v>
      </c>
      <c r="C100" s="399" t="s">
        <v>150</v>
      </c>
      <c r="D100" s="399" t="s">
        <v>238</v>
      </c>
      <c r="E100" s="399" t="s">
        <v>134</v>
      </c>
      <c r="F100" s="9" t="s">
        <v>627</v>
      </c>
      <c r="G100" s="10">
        <f>G99</f>
        <v>0</v>
      </c>
      <c r="H100" s="10">
        <f>H99</f>
        <v>0</v>
      </c>
      <c r="I100" s="389" t="e">
        <f t="shared" si="17"/>
        <v>#DIV/0!</v>
      </c>
    </row>
    <row r="101" spans="1:9" s="191" customFormat="1" ht="78.75" x14ac:dyDescent="0.25">
      <c r="A101" s="400" t="s">
        <v>1347</v>
      </c>
      <c r="B101" s="7" t="s">
        <v>359</v>
      </c>
      <c r="C101" s="7"/>
      <c r="D101" s="7"/>
      <c r="E101" s="7"/>
      <c r="F101" s="8"/>
      <c r="G101" s="59">
        <f>G102</f>
        <v>641.6</v>
      </c>
      <c r="H101" s="59">
        <f>H102</f>
        <v>641.6</v>
      </c>
      <c r="I101" s="492">
        <f t="shared" si="17"/>
        <v>100</v>
      </c>
    </row>
    <row r="102" spans="1:9" s="191" customFormat="1" ht="47.25" x14ac:dyDescent="0.25">
      <c r="A102" s="232" t="s">
        <v>1045</v>
      </c>
      <c r="B102" s="7" t="s">
        <v>908</v>
      </c>
      <c r="C102" s="7"/>
      <c r="D102" s="7"/>
      <c r="E102" s="7"/>
      <c r="F102" s="8"/>
      <c r="G102" s="59">
        <f>G103</f>
        <v>641.6</v>
      </c>
      <c r="H102" s="59">
        <f>H103</f>
        <v>641.6</v>
      </c>
      <c r="I102" s="492">
        <f t="shared" si="17"/>
        <v>100</v>
      </c>
    </row>
    <row r="103" spans="1:9" s="191" customFormat="1" ht="15.75" x14ac:dyDescent="0.25">
      <c r="A103" s="45" t="s">
        <v>117</v>
      </c>
      <c r="B103" s="399" t="s">
        <v>908</v>
      </c>
      <c r="C103" s="399" t="s">
        <v>118</v>
      </c>
      <c r="D103" s="399"/>
      <c r="E103" s="399"/>
      <c r="F103" s="9"/>
      <c r="G103" s="10">
        <f t="shared" ref="G103:H106" si="20">G104</f>
        <v>641.6</v>
      </c>
      <c r="H103" s="10">
        <f t="shared" si="20"/>
        <v>641.6</v>
      </c>
      <c r="I103" s="389">
        <f t="shared" si="17"/>
        <v>100</v>
      </c>
    </row>
    <row r="104" spans="1:9" s="191" customFormat="1" ht="15.75" x14ac:dyDescent="0.25">
      <c r="A104" s="45" t="s">
        <v>139</v>
      </c>
      <c r="B104" s="399" t="s">
        <v>908</v>
      </c>
      <c r="C104" s="399" t="s">
        <v>118</v>
      </c>
      <c r="D104" s="399" t="s">
        <v>140</v>
      </c>
      <c r="E104" s="399"/>
      <c r="F104" s="9"/>
      <c r="G104" s="10">
        <f>G105+G109</f>
        <v>641.6</v>
      </c>
      <c r="H104" s="10">
        <f>H105+H109</f>
        <v>641.6</v>
      </c>
      <c r="I104" s="389">
        <f t="shared" si="17"/>
        <v>100</v>
      </c>
    </row>
    <row r="105" spans="1:9" s="191" customFormat="1" ht="31.5" x14ac:dyDescent="0.25">
      <c r="A105" s="98" t="s">
        <v>1096</v>
      </c>
      <c r="B105" s="399" t="s">
        <v>1196</v>
      </c>
      <c r="C105" s="399" t="s">
        <v>118</v>
      </c>
      <c r="D105" s="399" t="s">
        <v>140</v>
      </c>
      <c r="E105" s="399"/>
      <c r="F105" s="9"/>
      <c r="G105" s="10">
        <f t="shared" si="20"/>
        <v>451</v>
      </c>
      <c r="H105" s="10">
        <f t="shared" si="20"/>
        <v>451</v>
      </c>
      <c r="I105" s="389">
        <f t="shared" si="17"/>
        <v>100</v>
      </c>
    </row>
    <row r="106" spans="1:9" s="191" customFormat="1" ht="31.5" x14ac:dyDescent="0.25">
      <c r="A106" s="29" t="s">
        <v>131</v>
      </c>
      <c r="B106" s="399" t="s">
        <v>1196</v>
      </c>
      <c r="C106" s="399" t="s">
        <v>118</v>
      </c>
      <c r="D106" s="399" t="s">
        <v>140</v>
      </c>
      <c r="E106" s="399" t="s">
        <v>132</v>
      </c>
      <c r="F106" s="9"/>
      <c r="G106" s="10">
        <f t="shared" si="20"/>
        <v>451</v>
      </c>
      <c r="H106" s="10">
        <f t="shared" si="20"/>
        <v>451</v>
      </c>
      <c r="I106" s="389">
        <f t="shared" si="17"/>
        <v>100</v>
      </c>
    </row>
    <row r="107" spans="1:9" s="191" customFormat="1" ht="31.5" x14ac:dyDescent="0.25">
      <c r="A107" s="29" t="s">
        <v>133</v>
      </c>
      <c r="B107" s="399" t="s">
        <v>1196</v>
      </c>
      <c r="C107" s="399" t="s">
        <v>118</v>
      </c>
      <c r="D107" s="399" t="s">
        <v>140</v>
      </c>
      <c r="E107" s="399" t="s">
        <v>134</v>
      </c>
      <c r="F107" s="9"/>
      <c r="G107" s="10">
        <f>'Пр.4 ведом.21'!G267</f>
        <v>451</v>
      </c>
      <c r="H107" s="10">
        <f>'Пр.4 ведом.21'!H267</f>
        <v>451</v>
      </c>
      <c r="I107" s="389">
        <f t="shared" si="17"/>
        <v>100</v>
      </c>
    </row>
    <row r="108" spans="1:9" s="191" customFormat="1" ht="47.25" x14ac:dyDescent="0.25">
      <c r="A108" s="45" t="s">
        <v>261</v>
      </c>
      <c r="B108" s="399" t="s">
        <v>1196</v>
      </c>
      <c r="C108" s="399" t="s">
        <v>118</v>
      </c>
      <c r="D108" s="399" t="s">
        <v>140</v>
      </c>
      <c r="E108" s="399" t="s">
        <v>134</v>
      </c>
      <c r="F108" s="9" t="s">
        <v>627</v>
      </c>
      <c r="G108" s="10">
        <f>G107</f>
        <v>451</v>
      </c>
      <c r="H108" s="10">
        <f>H107</f>
        <v>451</v>
      </c>
      <c r="I108" s="389">
        <f t="shared" si="17"/>
        <v>100</v>
      </c>
    </row>
    <row r="109" spans="1:9" s="377" customFormat="1" ht="31.5" x14ac:dyDescent="0.25">
      <c r="A109" s="45" t="s">
        <v>1546</v>
      </c>
      <c r="B109" s="399" t="s">
        <v>1575</v>
      </c>
      <c r="C109" s="399" t="s">
        <v>118</v>
      </c>
      <c r="D109" s="399" t="s">
        <v>140</v>
      </c>
      <c r="E109" s="399"/>
      <c r="F109" s="9"/>
      <c r="G109" s="10">
        <f>G110</f>
        <v>190.6</v>
      </c>
      <c r="H109" s="10">
        <f>H110</f>
        <v>190.6</v>
      </c>
      <c r="I109" s="389">
        <f t="shared" si="17"/>
        <v>100</v>
      </c>
    </row>
    <row r="110" spans="1:9" s="377" customFormat="1" ht="31.5" x14ac:dyDescent="0.25">
      <c r="A110" s="29" t="s">
        <v>131</v>
      </c>
      <c r="B110" s="399" t="s">
        <v>1575</v>
      </c>
      <c r="C110" s="399" t="s">
        <v>118</v>
      </c>
      <c r="D110" s="399" t="s">
        <v>140</v>
      </c>
      <c r="E110" s="399" t="s">
        <v>132</v>
      </c>
      <c r="F110" s="9"/>
      <c r="G110" s="10">
        <f>G111</f>
        <v>190.6</v>
      </c>
      <c r="H110" s="10">
        <f>H111</f>
        <v>190.6</v>
      </c>
      <c r="I110" s="389">
        <f t="shared" si="17"/>
        <v>100</v>
      </c>
    </row>
    <row r="111" spans="1:9" s="377" customFormat="1" ht="31.5" x14ac:dyDescent="0.25">
      <c r="A111" s="29" t="s">
        <v>133</v>
      </c>
      <c r="B111" s="399" t="s">
        <v>1575</v>
      </c>
      <c r="C111" s="399" t="s">
        <v>118</v>
      </c>
      <c r="D111" s="399" t="s">
        <v>140</v>
      </c>
      <c r="E111" s="399" t="s">
        <v>134</v>
      </c>
      <c r="F111" s="9"/>
      <c r="G111" s="10">
        <f>'Пр.4 ведом.21'!G270</f>
        <v>190.6</v>
      </c>
      <c r="H111" s="10">
        <f>'Пр.4 ведом.21'!H270</f>
        <v>190.6</v>
      </c>
      <c r="I111" s="389">
        <f t="shared" si="17"/>
        <v>100</v>
      </c>
    </row>
    <row r="112" spans="1:9" s="377" customFormat="1" ht="47.25" x14ac:dyDescent="0.25">
      <c r="A112" s="45" t="s">
        <v>261</v>
      </c>
      <c r="B112" s="399" t="s">
        <v>1575</v>
      </c>
      <c r="C112" s="399" t="s">
        <v>118</v>
      </c>
      <c r="D112" s="399" t="s">
        <v>140</v>
      </c>
      <c r="E112" s="399" t="s">
        <v>134</v>
      </c>
      <c r="F112" s="9" t="s">
        <v>627</v>
      </c>
      <c r="G112" s="10">
        <f>G111</f>
        <v>190.6</v>
      </c>
      <c r="H112" s="10">
        <f>H111</f>
        <v>190.6</v>
      </c>
      <c r="I112" s="389">
        <f t="shared" si="17"/>
        <v>100</v>
      </c>
    </row>
    <row r="113" spans="1:9" ht="39.200000000000003" customHeight="1" x14ac:dyDescent="0.25">
      <c r="A113" s="58" t="s">
        <v>629</v>
      </c>
      <c r="B113" s="7" t="s">
        <v>362</v>
      </c>
      <c r="C113" s="7"/>
      <c r="D113" s="7"/>
      <c r="E113" s="7"/>
      <c r="F113" s="7"/>
      <c r="G113" s="59">
        <f>G114+G124+G134</f>
        <v>1630.2</v>
      </c>
      <c r="H113" s="59">
        <f>H114+H124+H134</f>
        <v>1629.905</v>
      </c>
      <c r="I113" s="492">
        <f t="shared" si="17"/>
        <v>99.98190406085142</v>
      </c>
    </row>
    <row r="114" spans="1:9" s="191" customFormat="1" ht="31.5" x14ac:dyDescent="0.25">
      <c r="A114" s="394" t="s">
        <v>1038</v>
      </c>
      <c r="B114" s="395" t="s">
        <v>912</v>
      </c>
      <c r="C114" s="399"/>
      <c r="D114" s="399"/>
      <c r="E114" s="399"/>
      <c r="F114" s="399"/>
      <c r="G114" s="59">
        <f>G115</f>
        <v>1027.2</v>
      </c>
      <c r="H114" s="59">
        <f>H115</f>
        <v>1026.9349999999999</v>
      </c>
      <c r="I114" s="492">
        <f t="shared" si="17"/>
        <v>99.97420171339563</v>
      </c>
    </row>
    <row r="115" spans="1:9" ht="15.75" x14ac:dyDescent="0.25">
      <c r="A115" s="45" t="s">
        <v>243</v>
      </c>
      <c r="B115" s="399" t="s">
        <v>912</v>
      </c>
      <c r="C115" s="399" t="s">
        <v>244</v>
      </c>
      <c r="D115" s="399"/>
      <c r="E115" s="399"/>
      <c r="F115" s="399"/>
      <c r="G115" s="10">
        <f t="shared" ref="G115:H121" si="21">G116</f>
        <v>1027.2</v>
      </c>
      <c r="H115" s="10">
        <f t="shared" si="21"/>
        <v>1026.9349999999999</v>
      </c>
      <c r="I115" s="389">
        <f t="shared" si="17"/>
        <v>99.97420171339563</v>
      </c>
    </row>
    <row r="116" spans="1:9" ht="15.75" x14ac:dyDescent="0.25">
      <c r="A116" s="45" t="s">
        <v>252</v>
      </c>
      <c r="B116" s="399" t="s">
        <v>912</v>
      </c>
      <c r="C116" s="399" t="s">
        <v>244</v>
      </c>
      <c r="D116" s="399" t="s">
        <v>215</v>
      </c>
      <c r="E116" s="399"/>
      <c r="F116" s="399"/>
      <c r="G116" s="10">
        <f>G117</f>
        <v>1027.2</v>
      </c>
      <c r="H116" s="10">
        <f>H117</f>
        <v>1026.9349999999999</v>
      </c>
      <c r="I116" s="389">
        <f t="shared" si="17"/>
        <v>99.97420171339563</v>
      </c>
    </row>
    <row r="117" spans="1:9" ht="47.25" x14ac:dyDescent="0.25">
      <c r="A117" s="98" t="s">
        <v>1039</v>
      </c>
      <c r="B117" s="392" t="s">
        <v>1222</v>
      </c>
      <c r="C117" s="399" t="s">
        <v>244</v>
      </c>
      <c r="D117" s="399" t="s">
        <v>215</v>
      </c>
      <c r="E117" s="399"/>
      <c r="F117" s="399"/>
      <c r="G117" s="10">
        <f>G121+G118</f>
        <v>1027.2</v>
      </c>
      <c r="H117" s="10">
        <f>H121+H118</f>
        <v>1026.9349999999999</v>
      </c>
      <c r="I117" s="389">
        <f t="shared" si="17"/>
        <v>99.97420171339563</v>
      </c>
    </row>
    <row r="118" spans="1:9" s="191" customFormat="1" ht="31.5" x14ac:dyDescent="0.25">
      <c r="A118" s="29" t="s">
        <v>131</v>
      </c>
      <c r="B118" s="392" t="s">
        <v>1222</v>
      </c>
      <c r="C118" s="399" t="s">
        <v>244</v>
      </c>
      <c r="D118" s="399" t="s">
        <v>215</v>
      </c>
      <c r="E118" s="399" t="s">
        <v>132</v>
      </c>
      <c r="F118" s="399"/>
      <c r="G118" s="10">
        <f>G119</f>
        <v>529.20000000000005</v>
      </c>
      <c r="H118" s="10">
        <f>H119</f>
        <v>528.98500000000001</v>
      </c>
      <c r="I118" s="389">
        <f t="shared" si="17"/>
        <v>99.959372637944057</v>
      </c>
    </row>
    <row r="119" spans="1:9" s="191" customFormat="1" ht="31.5" x14ac:dyDescent="0.25">
      <c r="A119" s="29" t="s">
        <v>133</v>
      </c>
      <c r="B119" s="392" t="s">
        <v>1222</v>
      </c>
      <c r="C119" s="399" t="s">
        <v>244</v>
      </c>
      <c r="D119" s="399" t="s">
        <v>215</v>
      </c>
      <c r="E119" s="399" t="s">
        <v>134</v>
      </c>
      <c r="F119" s="399"/>
      <c r="G119" s="10">
        <f>'Пр.4 ведом.21'!G515</f>
        <v>529.20000000000005</v>
      </c>
      <c r="H119" s="10">
        <f>'Пр.4 ведом.21'!H515</f>
        <v>528.98500000000001</v>
      </c>
      <c r="I119" s="389">
        <f t="shared" si="17"/>
        <v>99.959372637944057</v>
      </c>
    </row>
    <row r="120" spans="1:9" s="191" customFormat="1" ht="47.25" x14ac:dyDescent="0.25">
      <c r="A120" s="45" t="s">
        <v>261</v>
      </c>
      <c r="B120" s="392" t="s">
        <v>1222</v>
      </c>
      <c r="C120" s="399" t="s">
        <v>244</v>
      </c>
      <c r="D120" s="399" t="s">
        <v>215</v>
      </c>
      <c r="E120" s="399" t="s">
        <v>134</v>
      </c>
      <c r="F120" s="399" t="s">
        <v>627</v>
      </c>
      <c r="G120" s="10">
        <f>G119</f>
        <v>529.20000000000005</v>
      </c>
      <c r="H120" s="10">
        <f>H119</f>
        <v>528.98500000000001</v>
      </c>
      <c r="I120" s="389">
        <f t="shared" si="17"/>
        <v>99.959372637944057</v>
      </c>
    </row>
    <row r="121" spans="1:9" ht="15.75" x14ac:dyDescent="0.25">
      <c r="A121" s="396" t="s">
        <v>248</v>
      </c>
      <c r="B121" s="392" t="s">
        <v>1222</v>
      </c>
      <c r="C121" s="399" t="s">
        <v>244</v>
      </c>
      <c r="D121" s="399" t="s">
        <v>215</v>
      </c>
      <c r="E121" s="399" t="s">
        <v>249</v>
      </c>
      <c r="F121" s="399"/>
      <c r="G121" s="10">
        <f t="shared" si="21"/>
        <v>497.99999999999994</v>
      </c>
      <c r="H121" s="10">
        <f t="shared" si="21"/>
        <v>497.95</v>
      </c>
      <c r="I121" s="389">
        <f t="shared" si="17"/>
        <v>99.989959839357439</v>
      </c>
    </row>
    <row r="122" spans="1:9" ht="31.5" x14ac:dyDescent="0.25">
      <c r="A122" s="396" t="s">
        <v>348</v>
      </c>
      <c r="B122" s="392" t="s">
        <v>1222</v>
      </c>
      <c r="C122" s="399" t="s">
        <v>244</v>
      </c>
      <c r="D122" s="399" t="s">
        <v>215</v>
      </c>
      <c r="E122" s="399" t="s">
        <v>349</v>
      </c>
      <c r="F122" s="399"/>
      <c r="G122" s="10">
        <f>'Пр.4 ведом.21'!G517</f>
        <v>497.99999999999994</v>
      </c>
      <c r="H122" s="10">
        <f>'Пр.4 ведом.21'!H517</f>
        <v>497.95</v>
      </c>
      <c r="I122" s="389">
        <f t="shared" si="17"/>
        <v>99.989959839357439</v>
      </c>
    </row>
    <row r="123" spans="1:9" ht="47.25" x14ac:dyDescent="0.25">
      <c r="A123" s="45" t="s">
        <v>261</v>
      </c>
      <c r="B123" s="392" t="s">
        <v>1222</v>
      </c>
      <c r="C123" s="399" t="s">
        <v>244</v>
      </c>
      <c r="D123" s="399" t="s">
        <v>215</v>
      </c>
      <c r="E123" s="399" t="s">
        <v>349</v>
      </c>
      <c r="F123" s="399" t="s">
        <v>627</v>
      </c>
      <c r="G123" s="10">
        <f>G122</f>
        <v>497.99999999999994</v>
      </c>
      <c r="H123" s="10">
        <f>H122</f>
        <v>497.95</v>
      </c>
      <c r="I123" s="389">
        <f t="shared" si="17"/>
        <v>99.989959839357439</v>
      </c>
    </row>
    <row r="124" spans="1:9" s="191" customFormat="1" ht="31.5" x14ac:dyDescent="0.25">
      <c r="A124" s="394" t="s">
        <v>1398</v>
      </c>
      <c r="B124" s="395" t="s">
        <v>1224</v>
      </c>
      <c r="C124" s="7"/>
      <c r="D124" s="7"/>
      <c r="E124" s="7"/>
      <c r="F124" s="7"/>
      <c r="G124" s="59">
        <f>G125</f>
        <v>205</v>
      </c>
      <c r="H124" s="59">
        <f>H125</f>
        <v>205</v>
      </c>
      <c r="I124" s="492">
        <f t="shared" si="17"/>
        <v>100</v>
      </c>
    </row>
    <row r="125" spans="1:9" s="191" customFormat="1" ht="15.75" x14ac:dyDescent="0.25">
      <c r="A125" s="45" t="s">
        <v>243</v>
      </c>
      <c r="B125" s="399" t="s">
        <v>1224</v>
      </c>
      <c r="C125" s="399" t="s">
        <v>244</v>
      </c>
      <c r="D125" s="399"/>
      <c r="E125" s="399"/>
      <c r="F125" s="399"/>
      <c r="G125" s="10">
        <f t="shared" ref="G125:H125" si="22">G126</f>
        <v>205</v>
      </c>
      <c r="H125" s="10">
        <f t="shared" si="22"/>
        <v>205</v>
      </c>
      <c r="I125" s="389">
        <f t="shared" si="17"/>
        <v>100</v>
      </c>
    </row>
    <row r="126" spans="1:9" s="191" customFormat="1" ht="15.75" x14ac:dyDescent="0.25">
      <c r="A126" s="45" t="s">
        <v>252</v>
      </c>
      <c r="B126" s="399" t="s">
        <v>1224</v>
      </c>
      <c r="C126" s="399" t="s">
        <v>244</v>
      </c>
      <c r="D126" s="399" t="s">
        <v>215</v>
      </c>
      <c r="E126" s="399"/>
      <c r="F126" s="399"/>
      <c r="G126" s="10">
        <f>G127</f>
        <v>205</v>
      </c>
      <c r="H126" s="10">
        <f>H127</f>
        <v>205</v>
      </c>
      <c r="I126" s="389">
        <f t="shared" si="17"/>
        <v>100</v>
      </c>
    </row>
    <row r="127" spans="1:9" s="191" customFormat="1" ht="31.5" x14ac:dyDescent="0.25">
      <c r="A127" s="396" t="s">
        <v>1223</v>
      </c>
      <c r="B127" s="392" t="s">
        <v>1225</v>
      </c>
      <c r="C127" s="399" t="s">
        <v>244</v>
      </c>
      <c r="D127" s="399" t="s">
        <v>215</v>
      </c>
      <c r="E127" s="399"/>
      <c r="F127" s="399"/>
      <c r="G127" s="10">
        <f>G128+G131</f>
        <v>205</v>
      </c>
      <c r="H127" s="10">
        <f>H128+H131</f>
        <v>205</v>
      </c>
      <c r="I127" s="389">
        <f t="shared" si="17"/>
        <v>100</v>
      </c>
    </row>
    <row r="128" spans="1:9" s="191" customFormat="1" ht="31.5" hidden="1" x14ac:dyDescent="0.25">
      <c r="A128" s="396" t="s">
        <v>131</v>
      </c>
      <c r="B128" s="392" t="s">
        <v>1225</v>
      </c>
      <c r="C128" s="399" t="s">
        <v>244</v>
      </c>
      <c r="D128" s="399" t="s">
        <v>215</v>
      </c>
      <c r="E128" s="399" t="s">
        <v>132</v>
      </c>
      <c r="F128" s="399"/>
      <c r="G128" s="10">
        <f>G129</f>
        <v>0</v>
      </c>
      <c r="H128" s="10">
        <f>H129</f>
        <v>0</v>
      </c>
      <c r="I128" s="389" t="e">
        <f t="shared" si="17"/>
        <v>#DIV/0!</v>
      </c>
    </row>
    <row r="129" spans="1:9" s="191" customFormat="1" ht="31.5" hidden="1" x14ac:dyDescent="0.25">
      <c r="A129" s="396" t="s">
        <v>133</v>
      </c>
      <c r="B129" s="392" t="s">
        <v>1225</v>
      </c>
      <c r="C129" s="399" t="s">
        <v>244</v>
      </c>
      <c r="D129" s="399" t="s">
        <v>215</v>
      </c>
      <c r="E129" s="399" t="s">
        <v>134</v>
      </c>
      <c r="F129" s="399"/>
      <c r="G129" s="10">
        <f>'Пр.4 ведом.21'!G521</f>
        <v>0</v>
      </c>
      <c r="H129" s="10">
        <f>'Пр.4 ведом.21'!H521</f>
        <v>0</v>
      </c>
      <c r="I129" s="389" t="e">
        <f t="shared" si="17"/>
        <v>#DIV/0!</v>
      </c>
    </row>
    <row r="130" spans="1:9" s="191" customFormat="1" ht="47.25" hidden="1" x14ac:dyDescent="0.25">
      <c r="A130" s="45" t="s">
        <v>261</v>
      </c>
      <c r="B130" s="392" t="s">
        <v>1225</v>
      </c>
      <c r="C130" s="399" t="s">
        <v>244</v>
      </c>
      <c r="D130" s="399" t="s">
        <v>215</v>
      </c>
      <c r="E130" s="399" t="s">
        <v>134</v>
      </c>
      <c r="F130" s="399" t="s">
        <v>627</v>
      </c>
      <c r="G130" s="10">
        <f>G129</f>
        <v>0</v>
      </c>
      <c r="H130" s="10">
        <f>H129</f>
        <v>0</v>
      </c>
      <c r="I130" s="389" t="e">
        <f t="shared" si="17"/>
        <v>#DIV/0!</v>
      </c>
    </row>
    <row r="131" spans="1:9" s="191" customFormat="1" ht="15.75" x14ac:dyDescent="0.25">
      <c r="A131" s="396" t="s">
        <v>248</v>
      </c>
      <c r="B131" s="392" t="s">
        <v>1225</v>
      </c>
      <c r="C131" s="399" t="s">
        <v>244</v>
      </c>
      <c r="D131" s="399" t="s">
        <v>215</v>
      </c>
      <c r="E131" s="399" t="s">
        <v>249</v>
      </c>
      <c r="F131" s="399"/>
      <c r="G131" s="10">
        <f>G132</f>
        <v>205</v>
      </c>
      <c r="H131" s="10">
        <f>H132</f>
        <v>205</v>
      </c>
      <c r="I131" s="389">
        <f t="shared" si="17"/>
        <v>100</v>
      </c>
    </row>
    <row r="132" spans="1:9" s="191" customFormat="1" ht="31.5" x14ac:dyDescent="0.25">
      <c r="A132" s="396" t="s">
        <v>348</v>
      </c>
      <c r="B132" s="392" t="s">
        <v>1225</v>
      </c>
      <c r="C132" s="399" t="s">
        <v>244</v>
      </c>
      <c r="D132" s="399" t="s">
        <v>215</v>
      </c>
      <c r="E132" s="399" t="s">
        <v>349</v>
      </c>
      <c r="F132" s="399"/>
      <c r="G132" s="10">
        <f>'Пр.4 ведом.21'!G523</f>
        <v>205</v>
      </c>
      <c r="H132" s="10">
        <f>'Пр.4 ведом.21'!H523</f>
        <v>205</v>
      </c>
      <c r="I132" s="389">
        <f t="shared" si="17"/>
        <v>100</v>
      </c>
    </row>
    <row r="133" spans="1:9" s="191" customFormat="1" ht="47.25" x14ac:dyDescent="0.25">
      <c r="A133" s="45" t="s">
        <v>261</v>
      </c>
      <c r="B133" s="392" t="s">
        <v>1225</v>
      </c>
      <c r="C133" s="399" t="s">
        <v>244</v>
      </c>
      <c r="D133" s="399" t="s">
        <v>215</v>
      </c>
      <c r="E133" s="399" t="s">
        <v>349</v>
      </c>
      <c r="F133" s="399" t="s">
        <v>627</v>
      </c>
      <c r="G133" s="10">
        <f>G132</f>
        <v>205</v>
      </c>
      <c r="H133" s="10">
        <f>H132</f>
        <v>205</v>
      </c>
      <c r="I133" s="389">
        <f t="shared" si="17"/>
        <v>100</v>
      </c>
    </row>
    <row r="134" spans="1:9" s="191" customFormat="1" ht="31.5" x14ac:dyDescent="0.25">
      <c r="A134" s="394" t="s">
        <v>996</v>
      </c>
      <c r="B134" s="395" t="s">
        <v>1219</v>
      </c>
      <c r="C134" s="7"/>
      <c r="D134" s="7"/>
      <c r="E134" s="7"/>
      <c r="F134" s="7"/>
      <c r="G134" s="59">
        <f>G141+G135</f>
        <v>398</v>
      </c>
      <c r="H134" s="59">
        <f>H141+H135</f>
        <v>397.97</v>
      </c>
      <c r="I134" s="492">
        <f t="shared" si="17"/>
        <v>99.992462311557802</v>
      </c>
    </row>
    <row r="135" spans="1:9" s="191" customFormat="1" ht="15.75" x14ac:dyDescent="0.25">
      <c r="A135" s="396" t="s">
        <v>298</v>
      </c>
      <c r="B135" s="392" t="s">
        <v>1219</v>
      </c>
      <c r="C135" s="399" t="s">
        <v>299</v>
      </c>
      <c r="D135" s="399"/>
      <c r="E135" s="7"/>
      <c r="F135" s="7"/>
      <c r="G135" s="10">
        <f t="shared" ref="G135:H138" si="23">G136</f>
        <v>178</v>
      </c>
      <c r="H135" s="10">
        <f t="shared" si="23"/>
        <v>177.97</v>
      </c>
      <c r="I135" s="389">
        <f t="shared" si="17"/>
        <v>99.983146067415731</v>
      </c>
    </row>
    <row r="136" spans="1:9" s="191" customFormat="1" ht="15.75" x14ac:dyDescent="0.25">
      <c r="A136" s="396" t="s">
        <v>300</v>
      </c>
      <c r="B136" s="392" t="s">
        <v>1219</v>
      </c>
      <c r="C136" s="399" t="s">
        <v>299</v>
      </c>
      <c r="D136" s="399" t="s">
        <v>150</v>
      </c>
      <c r="E136" s="7"/>
      <c r="F136" s="7"/>
      <c r="G136" s="10">
        <f t="shared" si="23"/>
        <v>178</v>
      </c>
      <c r="H136" s="10">
        <f t="shared" si="23"/>
        <v>177.97</v>
      </c>
      <c r="I136" s="389">
        <f t="shared" si="17"/>
        <v>99.983146067415731</v>
      </c>
    </row>
    <row r="137" spans="1:9" s="191" customFormat="1" ht="31.5" x14ac:dyDescent="0.25">
      <c r="A137" s="396" t="s">
        <v>995</v>
      </c>
      <c r="B137" s="392" t="s">
        <v>1220</v>
      </c>
      <c r="C137" s="399" t="s">
        <v>299</v>
      </c>
      <c r="D137" s="399" t="s">
        <v>150</v>
      </c>
      <c r="E137" s="7"/>
      <c r="F137" s="7"/>
      <c r="G137" s="10">
        <f t="shared" si="23"/>
        <v>178</v>
      </c>
      <c r="H137" s="10">
        <f t="shared" si="23"/>
        <v>177.97</v>
      </c>
      <c r="I137" s="389">
        <f t="shared" si="17"/>
        <v>99.983146067415731</v>
      </c>
    </row>
    <row r="138" spans="1:9" s="191" customFormat="1" ht="31.5" x14ac:dyDescent="0.25">
      <c r="A138" s="396" t="s">
        <v>131</v>
      </c>
      <c r="B138" s="392" t="s">
        <v>1220</v>
      </c>
      <c r="C138" s="399" t="s">
        <v>299</v>
      </c>
      <c r="D138" s="399" t="s">
        <v>150</v>
      </c>
      <c r="E138" s="399" t="s">
        <v>132</v>
      </c>
      <c r="F138" s="399"/>
      <c r="G138" s="10">
        <f t="shared" si="23"/>
        <v>178</v>
      </c>
      <c r="H138" s="10">
        <f t="shared" si="23"/>
        <v>177.97</v>
      </c>
      <c r="I138" s="389">
        <f t="shared" si="17"/>
        <v>99.983146067415731</v>
      </c>
    </row>
    <row r="139" spans="1:9" s="191" customFormat="1" ht="31.5" x14ac:dyDescent="0.25">
      <c r="A139" s="396" t="s">
        <v>133</v>
      </c>
      <c r="B139" s="392" t="s">
        <v>1220</v>
      </c>
      <c r="C139" s="399" t="s">
        <v>299</v>
      </c>
      <c r="D139" s="399" t="s">
        <v>150</v>
      </c>
      <c r="E139" s="399" t="s">
        <v>134</v>
      </c>
      <c r="F139" s="399"/>
      <c r="G139" s="10">
        <f>'Пр.4 ведом.21'!G497</f>
        <v>178</v>
      </c>
      <c r="H139" s="10">
        <f>'Пр.4 ведом.21'!H497</f>
        <v>177.97</v>
      </c>
      <c r="I139" s="389">
        <f t="shared" si="17"/>
        <v>99.983146067415731</v>
      </c>
    </row>
    <row r="140" spans="1:9" s="191" customFormat="1" ht="47.25" x14ac:dyDescent="0.25">
      <c r="A140" s="45" t="s">
        <v>261</v>
      </c>
      <c r="B140" s="392" t="s">
        <v>1220</v>
      </c>
      <c r="C140" s="399" t="s">
        <v>299</v>
      </c>
      <c r="D140" s="399" t="s">
        <v>150</v>
      </c>
      <c r="E140" s="399" t="s">
        <v>134</v>
      </c>
      <c r="F140" s="399" t="s">
        <v>627</v>
      </c>
      <c r="G140" s="10">
        <f>G139</f>
        <v>178</v>
      </c>
      <c r="H140" s="10">
        <f>H139</f>
        <v>177.97</v>
      </c>
      <c r="I140" s="389">
        <f t="shared" si="17"/>
        <v>99.983146067415731</v>
      </c>
    </row>
    <row r="141" spans="1:9" s="191" customFormat="1" ht="15.75" x14ac:dyDescent="0.25">
      <c r="A141" s="45" t="s">
        <v>243</v>
      </c>
      <c r="B141" s="392" t="s">
        <v>1219</v>
      </c>
      <c r="C141" s="399" t="s">
        <v>244</v>
      </c>
      <c r="D141" s="399"/>
      <c r="E141" s="399"/>
      <c r="F141" s="399"/>
      <c r="G141" s="10">
        <f t="shared" ref="G141:H144" si="24">G142</f>
        <v>220</v>
      </c>
      <c r="H141" s="10">
        <f t="shared" si="24"/>
        <v>220</v>
      </c>
      <c r="I141" s="389">
        <f t="shared" si="17"/>
        <v>100</v>
      </c>
    </row>
    <row r="142" spans="1:9" s="191" customFormat="1" ht="15.75" x14ac:dyDescent="0.25">
      <c r="A142" s="45" t="s">
        <v>252</v>
      </c>
      <c r="B142" s="392" t="s">
        <v>1219</v>
      </c>
      <c r="C142" s="399" t="s">
        <v>244</v>
      </c>
      <c r="D142" s="399" t="s">
        <v>215</v>
      </c>
      <c r="E142" s="399"/>
      <c r="F142" s="399"/>
      <c r="G142" s="10">
        <f t="shared" si="24"/>
        <v>220</v>
      </c>
      <c r="H142" s="10">
        <f t="shared" si="24"/>
        <v>220</v>
      </c>
      <c r="I142" s="389">
        <f t="shared" si="17"/>
        <v>100</v>
      </c>
    </row>
    <row r="143" spans="1:9" s="191" customFormat="1" ht="15.75" x14ac:dyDescent="0.25">
      <c r="A143" s="396" t="s">
        <v>1036</v>
      </c>
      <c r="B143" s="392" t="s">
        <v>1221</v>
      </c>
      <c r="C143" s="399" t="s">
        <v>244</v>
      </c>
      <c r="D143" s="399" t="s">
        <v>215</v>
      </c>
      <c r="E143" s="399"/>
      <c r="F143" s="399"/>
      <c r="G143" s="10">
        <f t="shared" si="24"/>
        <v>220</v>
      </c>
      <c r="H143" s="10">
        <f t="shared" si="24"/>
        <v>220</v>
      </c>
      <c r="I143" s="389">
        <f t="shared" si="17"/>
        <v>100</v>
      </c>
    </row>
    <row r="144" spans="1:9" s="191" customFormat="1" ht="15.75" x14ac:dyDescent="0.25">
      <c r="A144" s="396" t="s">
        <v>248</v>
      </c>
      <c r="B144" s="392" t="s">
        <v>1221</v>
      </c>
      <c r="C144" s="399" t="s">
        <v>244</v>
      </c>
      <c r="D144" s="399" t="s">
        <v>215</v>
      </c>
      <c r="E144" s="399" t="s">
        <v>249</v>
      </c>
      <c r="F144" s="399"/>
      <c r="G144" s="10">
        <f t="shared" si="24"/>
        <v>220</v>
      </c>
      <c r="H144" s="10">
        <f t="shared" si="24"/>
        <v>220</v>
      </c>
      <c r="I144" s="389">
        <f t="shared" si="17"/>
        <v>100</v>
      </c>
    </row>
    <row r="145" spans="1:9" s="191" customFormat="1" ht="31.5" x14ac:dyDescent="0.25">
      <c r="A145" s="396" t="s">
        <v>348</v>
      </c>
      <c r="B145" s="392" t="s">
        <v>1221</v>
      </c>
      <c r="C145" s="399" t="s">
        <v>244</v>
      </c>
      <c r="D145" s="399" t="s">
        <v>215</v>
      </c>
      <c r="E145" s="399" t="s">
        <v>349</v>
      </c>
      <c r="F145" s="399"/>
      <c r="G145" s="10">
        <f>'Пр.4 ведом.21'!G527</f>
        <v>220</v>
      </c>
      <c r="H145" s="10">
        <f>'Пр.4 ведом.21'!H527</f>
        <v>220</v>
      </c>
      <c r="I145" s="389">
        <f t="shared" ref="I145:I208" si="25">H145/G145*100</f>
        <v>100</v>
      </c>
    </row>
    <row r="146" spans="1:9" s="191" customFormat="1" ht="47.25" x14ac:dyDescent="0.25">
      <c r="A146" s="45" t="s">
        <v>261</v>
      </c>
      <c r="B146" s="392" t="s">
        <v>1221</v>
      </c>
      <c r="C146" s="399" t="s">
        <v>244</v>
      </c>
      <c r="D146" s="399" t="s">
        <v>215</v>
      </c>
      <c r="E146" s="399" t="s">
        <v>349</v>
      </c>
      <c r="F146" s="399" t="s">
        <v>627</v>
      </c>
      <c r="G146" s="10">
        <f>G145</f>
        <v>220</v>
      </c>
      <c r="H146" s="10">
        <f>H145</f>
        <v>220</v>
      </c>
      <c r="I146" s="389">
        <f t="shared" si="25"/>
        <v>100</v>
      </c>
    </row>
    <row r="147" spans="1:9" ht="31.5" x14ac:dyDescent="0.25">
      <c r="A147" s="58" t="s">
        <v>1357</v>
      </c>
      <c r="B147" s="7" t="s">
        <v>406</v>
      </c>
      <c r="C147" s="7"/>
      <c r="D147" s="7"/>
      <c r="E147" s="7"/>
      <c r="F147" s="7"/>
      <c r="G147" s="59">
        <f>G148+G173+G230+G263+G270+G299+G306+G313+G320+G327+G381+G334+G341+G388+G348+G355+G367+G374</f>
        <v>354344.60000000003</v>
      </c>
      <c r="H147" s="59">
        <f>H148+H173+H230+H263+H270+H299+H306+H313+H320+H327+H381+H334+H341+H388+H348+H355+H367+H374</f>
        <v>345768.31699999998</v>
      </c>
      <c r="I147" s="492">
        <f t="shared" si="25"/>
        <v>97.57967724074247</v>
      </c>
    </row>
    <row r="148" spans="1:9" s="191" customFormat="1" ht="31.5" x14ac:dyDescent="0.25">
      <c r="A148" s="394" t="s">
        <v>936</v>
      </c>
      <c r="B148" s="395" t="s">
        <v>1228</v>
      </c>
      <c r="C148" s="7"/>
      <c r="D148" s="7"/>
      <c r="E148" s="7"/>
      <c r="F148" s="7"/>
      <c r="G148" s="59">
        <f>G149+G156+G160</f>
        <v>85038.938000000009</v>
      </c>
      <c r="H148" s="59">
        <f>H149+H156+H160</f>
        <v>82363.694000000003</v>
      </c>
      <c r="I148" s="492">
        <f t="shared" si="25"/>
        <v>96.854095238113146</v>
      </c>
    </row>
    <row r="149" spans="1:9" ht="15.75" x14ac:dyDescent="0.25">
      <c r="A149" s="29" t="s">
        <v>263</v>
      </c>
      <c r="B149" s="399" t="s">
        <v>1228</v>
      </c>
      <c r="C149" s="399" t="s">
        <v>264</v>
      </c>
      <c r="D149" s="399"/>
      <c r="E149" s="399"/>
      <c r="F149" s="399"/>
      <c r="G149" s="10">
        <f>G150</f>
        <v>14804.1</v>
      </c>
      <c r="H149" s="10">
        <f>H150</f>
        <v>14800.699000000001</v>
      </c>
      <c r="I149" s="389">
        <f t="shared" si="25"/>
        <v>99.977026634513408</v>
      </c>
    </row>
    <row r="150" spans="1:9" ht="15.75" x14ac:dyDescent="0.25">
      <c r="A150" s="45" t="s">
        <v>404</v>
      </c>
      <c r="B150" s="399" t="s">
        <v>1228</v>
      </c>
      <c r="C150" s="399" t="s">
        <v>264</v>
      </c>
      <c r="D150" s="399" t="s">
        <v>118</v>
      </c>
      <c r="E150" s="399"/>
      <c r="F150" s="399"/>
      <c r="G150" s="10">
        <f>G151</f>
        <v>14804.1</v>
      </c>
      <c r="H150" s="10">
        <f>H151</f>
        <v>14800.699000000001</v>
      </c>
      <c r="I150" s="389">
        <f t="shared" si="25"/>
        <v>99.977026634513408</v>
      </c>
    </row>
    <row r="151" spans="1:9" ht="31.5" x14ac:dyDescent="0.25">
      <c r="A151" s="396" t="s">
        <v>1227</v>
      </c>
      <c r="B151" s="392" t="s">
        <v>1229</v>
      </c>
      <c r="C151" s="399" t="s">
        <v>264</v>
      </c>
      <c r="D151" s="399" t="s">
        <v>118</v>
      </c>
      <c r="E151" s="399"/>
      <c r="F151" s="399"/>
      <c r="G151" s="10">
        <f t="shared" ref="G151:H152" si="26">G152</f>
        <v>14804.1</v>
      </c>
      <c r="H151" s="10">
        <f t="shared" si="26"/>
        <v>14800.699000000001</v>
      </c>
      <c r="I151" s="389">
        <f t="shared" si="25"/>
        <v>99.977026634513408</v>
      </c>
    </row>
    <row r="152" spans="1:9" ht="31.5" x14ac:dyDescent="0.25">
      <c r="A152" s="396" t="s">
        <v>272</v>
      </c>
      <c r="B152" s="392" t="s">
        <v>1229</v>
      </c>
      <c r="C152" s="399" t="s">
        <v>264</v>
      </c>
      <c r="D152" s="399" t="s">
        <v>118</v>
      </c>
      <c r="E152" s="399" t="s">
        <v>273</v>
      </c>
      <c r="F152" s="399"/>
      <c r="G152" s="10">
        <f t="shared" si="26"/>
        <v>14804.1</v>
      </c>
      <c r="H152" s="10">
        <f t="shared" si="26"/>
        <v>14800.699000000001</v>
      </c>
      <c r="I152" s="389">
        <f t="shared" si="25"/>
        <v>99.977026634513408</v>
      </c>
    </row>
    <row r="153" spans="1:9" ht="15.75" x14ac:dyDescent="0.25">
      <c r="A153" s="396" t="s">
        <v>274</v>
      </c>
      <c r="B153" s="392" t="s">
        <v>1229</v>
      </c>
      <c r="C153" s="399" t="s">
        <v>264</v>
      </c>
      <c r="D153" s="399" t="s">
        <v>118</v>
      </c>
      <c r="E153" s="399" t="s">
        <v>275</v>
      </c>
      <c r="F153" s="399"/>
      <c r="G153" s="389">
        <f>'Пр.4 ведом.21'!G635</f>
        <v>14804.1</v>
      </c>
      <c r="H153" s="389">
        <f>'Пр.4 ведом.21'!H635</f>
        <v>14800.699000000001</v>
      </c>
      <c r="I153" s="389">
        <f t="shared" si="25"/>
        <v>99.977026634513408</v>
      </c>
    </row>
    <row r="154" spans="1:9" s="191" customFormat="1" ht="31.5" x14ac:dyDescent="0.25">
      <c r="A154" s="29" t="s">
        <v>403</v>
      </c>
      <c r="B154" s="392" t="s">
        <v>1229</v>
      </c>
      <c r="C154" s="399" t="s">
        <v>264</v>
      </c>
      <c r="D154" s="399" t="s">
        <v>118</v>
      </c>
      <c r="E154" s="399" t="s">
        <v>275</v>
      </c>
      <c r="F154" s="399" t="s">
        <v>636</v>
      </c>
      <c r="G154" s="10">
        <f>G153</f>
        <v>14804.1</v>
      </c>
      <c r="H154" s="10">
        <f>H153</f>
        <v>14800.699000000001</v>
      </c>
      <c r="I154" s="389">
        <f t="shared" si="25"/>
        <v>99.977026634513408</v>
      </c>
    </row>
    <row r="155" spans="1:9" s="191" customFormat="1" ht="15.75" x14ac:dyDescent="0.25">
      <c r="A155" s="29" t="s">
        <v>425</v>
      </c>
      <c r="B155" s="399" t="s">
        <v>1228</v>
      </c>
      <c r="C155" s="399" t="s">
        <v>264</v>
      </c>
      <c r="D155" s="399" t="s">
        <v>213</v>
      </c>
      <c r="E155" s="399"/>
      <c r="F155" s="399"/>
      <c r="G155" s="10">
        <f t="shared" ref="G155:H157" si="27">G156</f>
        <v>31403.812999999998</v>
      </c>
      <c r="H155" s="10">
        <f t="shared" si="27"/>
        <v>31398.613000000001</v>
      </c>
      <c r="I155" s="389">
        <f t="shared" si="25"/>
        <v>99.983441501196054</v>
      </c>
    </row>
    <row r="156" spans="1:9" s="191" customFormat="1" ht="31.5" x14ac:dyDescent="0.25">
      <c r="A156" s="396" t="s">
        <v>427</v>
      </c>
      <c r="B156" s="392" t="s">
        <v>1247</v>
      </c>
      <c r="C156" s="399" t="s">
        <v>264</v>
      </c>
      <c r="D156" s="399" t="s">
        <v>213</v>
      </c>
      <c r="E156" s="399"/>
      <c r="F156" s="399"/>
      <c r="G156" s="389">
        <f t="shared" si="27"/>
        <v>31403.812999999998</v>
      </c>
      <c r="H156" s="389">
        <f t="shared" si="27"/>
        <v>31398.613000000001</v>
      </c>
      <c r="I156" s="389">
        <f t="shared" si="25"/>
        <v>99.983441501196054</v>
      </c>
    </row>
    <row r="157" spans="1:9" s="191" customFormat="1" ht="31.5" x14ac:dyDescent="0.25">
      <c r="A157" s="396" t="s">
        <v>272</v>
      </c>
      <c r="B157" s="392" t="s">
        <v>1247</v>
      </c>
      <c r="C157" s="399" t="s">
        <v>264</v>
      </c>
      <c r="D157" s="399" t="s">
        <v>213</v>
      </c>
      <c r="E157" s="399" t="s">
        <v>273</v>
      </c>
      <c r="F157" s="399"/>
      <c r="G157" s="389">
        <f t="shared" si="27"/>
        <v>31403.812999999998</v>
      </c>
      <c r="H157" s="389">
        <f t="shared" si="27"/>
        <v>31398.613000000001</v>
      </c>
      <c r="I157" s="389">
        <f t="shared" si="25"/>
        <v>99.983441501196054</v>
      </c>
    </row>
    <row r="158" spans="1:9" s="191" customFormat="1" ht="15.75" x14ac:dyDescent="0.25">
      <c r="A158" s="396" t="s">
        <v>274</v>
      </c>
      <c r="B158" s="392" t="s">
        <v>1247</v>
      </c>
      <c r="C158" s="399" t="s">
        <v>264</v>
      </c>
      <c r="D158" s="399" t="s">
        <v>213</v>
      </c>
      <c r="E158" s="399" t="s">
        <v>275</v>
      </c>
      <c r="F158" s="399"/>
      <c r="G158" s="389">
        <f>'Пр.4 ведом.21'!G703</f>
        <v>31403.812999999998</v>
      </c>
      <c r="H158" s="389">
        <f>'Пр.4 ведом.21'!H703</f>
        <v>31398.613000000001</v>
      </c>
      <c r="I158" s="389">
        <f t="shared" si="25"/>
        <v>99.983441501196054</v>
      </c>
    </row>
    <row r="159" spans="1:9" s="191" customFormat="1" ht="31.5" x14ac:dyDescent="0.25">
      <c r="A159" s="29" t="s">
        <v>403</v>
      </c>
      <c r="B159" s="392" t="s">
        <v>1247</v>
      </c>
      <c r="C159" s="399" t="s">
        <v>264</v>
      </c>
      <c r="D159" s="399" t="s">
        <v>213</v>
      </c>
      <c r="E159" s="399" t="s">
        <v>275</v>
      </c>
      <c r="F159" s="399" t="s">
        <v>636</v>
      </c>
      <c r="G159" s="10">
        <f>G158</f>
        <v>31403.812999999998</v>
      </c>
      <c r="H159" s="10">
        <f>H158</f>
        <v>31398.613000000001</v>
      </c>
      <c r="I159" s="389">
        <f t="shared" si="25"/>
        <v>99.983441501196054</v>
      </c>
    </row>
    <row r="160" spans="1:9" s="191" customFormat="1" ht="15.75" x14ac:dyDescent="0.25">
      <c r="A160" s="29" t="s">
        <v>265</v>
      </c>
      <c r="B160" s="399" t="s">
        <v>1228</v>
      </c>
      <c r="C160" s="399" t="s">
        <v>264</v>
      </c>
      <c r="D160" s="399" t="s">
        <v>215</v>
      </c>
      <c r="E160" s="399"/>
      <c r="F160" s="399"/>
      <c r="G160" s="389">
        <f>G161+G169+G165</f>
        <v>38831.025000000009</v>
      </c>
      <c r="H160" s="389">
        <f>H161+H169+H165</f>
        <v>36164.381999999998</v>
      </c>
      <c r="I160" s="389">
        <f t="shared" si="25"/>
        <v>93.132699948044092</v>
      </c>
    </row>
    <row r="161" spans="1:9" s="191" customFormat="1" ht="47.25" x14ac:dyDescent="0.25">
      <c r="A161" s="29" t="s">
        <v>270</v>
      </c>
      <c r="B161" s="392" t="s">
        <v>1258</v>
      </c>
      <c r="C161" s="399" t="s">
        <v>264</v>
      </c>
      <c r="D161" s="399" t="s">
        <v>215</v>
      </c>
      <c r="E161" s="7"/>
      <c r="F161" s="7"/>
      <c r="G161" s="10">
        <f t="shared" ref="G161:H162" si="28">G162</f>
        <v>14825.625</v>
      </c>
      <c r="H161" s="10">
        <f t="shared" si="28"/>
        <v>14825.625</v>
      </c>
      <c r="I161" s="389">
        <f t="shared" si="25"/>
        <v>100</v>
      </c>
    </row>
    <row r="162" spans="1:9" s="191" customFormat="1" ht="31.5" x14ac:dyDescent="0.25">
      <c r="A162" s="29" t="s">
        <v>272</v>
      </c>
      <c r="B162" s="392" t="s">
        <v>1258</v>
      </c>
      <c r="C162" s="399" t="s">
        <v>264</v>
      </c>
      <c r="D162" s="399" t="s">
        <v>215</v>
      </c>
      <c r="E162" s="399" t="s">
        <v>273</v>
      </c>
      <c r="F162" s="399"/>
      <c r="G162" s="10">
        <f t="shared" si="28"/>
        <v>14825.625</v>
      </c>
      <c r="H162" s="10">
        <f t="shared" si="28"/>
        <v>14825.625</v>
      </c>
      <c r="I162" s="389">
        <f t="shared" si="25"/>
        <v>100</v>
      </c>
    </row>
    <row r="163" spans="1:9" s="191" customFormat="1" ht="15.75" x14ac:dyDescent="0.25">
      <c r="A163" s="29" t="s">
        <v>274</v>
      </c>
      <c r="B163" s="392" t="s">
        <v>1258</v>
      </c>
      <c r="C163" s="399" t="s">
        <v>264</v>
      </c>
      <c r="D163" s="399" t="s">
        <v>215</v>
      </c>
      <c r="E163" s="399" t="s">
        <v>275</v>
      </c>
      <c r="F163" s="399"/>
      <c r="G163" s="389">
        <f>'Пр.4 ведом.21'!G794</f>
        <v>14825.625</v>
      </c>
      <c r="H163" s="389">
        <f>'Пр.4 ведом.21'!H794</f>
        <v>14825.625</v>
      </c>
      <c r="I163" s="389">
        <f t="shared" si="25"/>
        <v>100</v>
      </c>
    </row>
    <row r="164" spans="1:9" s="191" customFormat="1" ht="31.5" x14ac:dyDescent="0.25">
      <c r="A164" s="29" t="s">
        <v>403</v>
      </c>
      <c r="B164" s="392" t="s">
        <v>1258</v>
      </c>
      <c r="C164" s="399" t="s">
        <v>264</v>
      </c>
      <c r="D164" s="399" t="s">
        <v>215</v>
      </c>
      <c r="E164" s="399" t="s">
        <v>275</v>
      </c>
      <c r="F164" s="399" t="s">
        <v>636</v>
      </c>
      <c r="G164" s="10">
        <f>G163</f>
        <v>14825.625</v>
      </c>
      <c r="H164" s="10">
        <f>H163</f>
        <v>14825.625</v>
      </c>
      <c r="I164" s="389">
        <f t="shared" si="25"/>
        <v>100</v>
      </c>
    </row>
    <row r="165" spans="1:9" s="387" customFormat="1" ht="47.25" x14ac:dyDescent="0.25">
      <c r="A165" s="396" t="s">
        <v>1660</v>
      </c>
      <c r="B165" s="392" t="s">
        <v>1664</v>
      </c>
      <c r="C165" s="399" t="s">
        <v>264</v>
      </c>
      <c r="D165" s="399" t="s">
        <v>215</v>
      </c>
      <c r="E165" s="399"/>
      <c r="F165" s="399"/>
      <c r="G165" s="10">
        <f>G166</f>
        <v>267.8</v>
      </c>
      <c r="H165" s="10">
        <f>H166</f>
        <v>267.8</v>
      </c>
      <c r="I165" s="389">
        <f t="shared" si="25"/>
        <v>100</v>
      </c>
    </row>
    <row r="166" spans="1:9" s="387" customFormat="1" ht="31.5" x14ac:dyDescent="0.25">
      <c r="A166" s="396" t="s">
        <v>272</v>
      </c>
      <c r="B166" s="392" t="s">
        <v>1664</v>
      </c>
      <c r="C166" s="399" t="s">
        <v>264</v>
      </c>
      <c r="D166" s="399" t="s">
        <v>215</v>
      </c>
      <c r="E166" s="399" t="s">
        <v>273</v>
      </c>
      <c r="F166" s="399"/>
      <c r="G166" s="10">
        <f>G167</f>
        <v>267.8</v>
      </c>
      <c r="H166" s="10">
        <f>H167</f>
        <v>267.8</v>
      </c>
      <c r="I166" s="389">
        <f t="shared" si="25"/>
        <v>100</v>
      </c>
    </row>
    <row r="167" spans="1:9" s="387" customFormat="1" ht="15.75" x14ac:dyDescent="0.25">
      <c r="A167" s="396" t="s">
        <v>274</v>
      </c>
      <c r="B167" s="392" t="s">
        <v>1664</v>
      </c>
      <c r="C167" s="399" t="s">
        <v>264</v>
      </c>
      <c r="D167" s="399" t="s">
        <v>215</v>
      </c>
      <c r="E167" s="399" t="s">
        <v>275</v>
      </c>
      <c r="F167" s="399"/>
      <c r="G167" s="10">
        <f>'Пр.4 ведом.21'!G797</f>
        <v>267.8</v>
      </c>
      <c r="H167" s="10">
        <f>'Пр.4 ведом.21'!H797</f>
        <v>267.8</v>
      </c>
      <c r="I167" s="389">
        <f t="shared" si="25"/>
        <v>100</v>
      </c>
    </row>
    <row r="168" spans="1:9" s="387" customFormat="1" ht="31.5" x14ac:dyDescent="0.25">
      <c r="A168" s="29" t="s">
        <v>403</v>
      </c>
      <c r="B168" s="392" t="s">
        <v>1664</v>
      </c>
      <c r="C168" s="399" t="s">
        <v>264</v>
      </c>
      <c r="D168" s="399" t="s">
        <v>215</v>
      </c>
      <c r="E168" s="399" t="s">
        <v>275</v>
      </c>
      <c r="F168" s="399" t="s">
        <v>636</v>
      </c>
      <c r="G168" s="10">
        <f>G167</f>
        <v>267.8</v>
      </c>
      <c r="H168" s="10">
        <f>H167</f>
        <v>267.8</v>
      </c>
      <c r="I168" s="389">
        <f t="shared" si="25"/>
        <v>100</v>
      </c>
    </row>
    <row r="169" spans="1:9" s="191" customFormat="1" ht="31.5" x14ac:dyDescent="0.25">
      <c r="A169" s="31" t="s">
        <v>1490</v>
      </c>
      <c r="B169" s="392" t="s">
        <v>1489</v>
      </c>
      <c r="C169" s="392" t="s">
        <v>264</v>
      </c>
      <c r="D169" s="392" t="s">
        <v>215</v>
      </c>
      <c r="E169" s="392"/>
      <c r="F169" s="399"/>
      <c r="G169" s="10">
        <f>G170</f>
        <v>23737.600000000002</v>
      </c>
      <c r="H169" s="10">
        <f>H170</f>
        <v>21070.956999999999</v>
      </c>
      <c r="I169" s="389">
        <f t="shared" si="25"/>
        <v>88.766164228902653</v>
      </c>
    </row>
    <row r="170" spans="1:9" s="191" customFormat="1" ht="31.5" x14ac:dyDescent="0.25">
      <c r="A170" s="396" t="s">
        <v>272</v>
      </c>
      <c r="B170" s="392" t="s">
        <v>1489</v>
      </c>
      <c r="C170" s="392" t="s">
        <v>264</v>
      </c>
      <c r="D170" s="392" t="s">
        <v>215</v>
      </c>
      <c r="E170" s="392" t="s">
        <v>273</v>
      </c>
      <c r="F170" s="399"/>
      <c r="G170" s="10">
        <f>G171</f>
        <v>23737.600000000002</v>
      </c>
      <c r="H170" s="10">
        <f>H171</f>
        <v>21070.956999999999</v>
      </c>
      <c r="I170" s="389">
        <f t="shared" si="25"/>
        <v>88.766164228902653</v>
      </c>
    </row>
    <row r="171" spans="1:9" s="191" customFormat="1" ht="15.75" x14ac:dyDescent="0.25">
      <c r="A171" s="31" t="s">
        <v>274</v>
      </c>
      <c r="B171" s="392" t="s">
        <v>1489</v>
      </c>
      <c r="C171" s="392" t="s">
        <v>264</v>
      </c>
      <c r="D171" s="392" t="s">
        <v>215</v>
      </c>
      <c r="E171" s="392" t="s">
        <v>275</v>
      </c>
      <c r="F171" s="399"/>
      <c r="G171" s="10">
        <f>'Пр.4 ведом.21'!G800</f>
        <v>23737.600000000002</v>
      </c>
      <c r="H171" s="10">
        <f>'Пр.4 ведом.21'!H800</f>
        <v>21070.956999999999</v>
      </c>
      <c r="I171" s="389">
        <f t="shared" si="25"/>
        <v>88.766164228902653</v>
      </c>
    </row>
    <row r="172" spans="1:9" s="191" customFormat="1" ht="31.5" x14ac:dyDescent="0.25">
      <c r="A172" s="180" t="s">
        <v>403</v>
      </c>
      <c r="B172" s="392" t="s">
        <v>1489</v>
      </c>
      <c r="C172" s="392" t="s">
        <v>264</v>
      </c>
      <c r="D172" s="392" t="s">
        <v>215</v>
      </c>
      <c r="E172" s="392" t="s">
        <v>275</v>
      </c>
      <c r="F172" s="399" t="s">
        <v>636</v>
      </c>
      <c r="G172" s="10">
        <f>G169</f>
        <v>23737.600000000002</v>
      </c>
      <c r="H172" s="10">
        <f>H169</f>
        <v>21070.956999999999</v>
      </c>
      <c r="I172" s="389">
        <f t="shared" si="25"/>
        <v>88.766164228902653</v>
      </c>
    </row>
    <row r="173" spans="1:9" s="191" customFormat="1" ht="47.25" x14ac:dyDescent="0.25">
      <c r="A173" s="394" t="s">
        <v>899</v>
      </c>
      <c r="B173" s="395" t="s">
        <v>1230</v>
      </c>
      <c r="C173" s="7"/>
      <c r="D173" s="7"/>
      <c r="E173" s="7"/>
      <c r="F173" s="7"/>
      <c r="G173" s="388">
        <f>G174</f>
        <v>227795.60800000001</v>
      </c>
      <c r="H173" s="388">
        <f>H174</f>
        <v>224826.35699999999</v>
      </c>
      <c r="I173" s="492">
        <f t="shared" si="25"/>
        <v>98.69652842472712</v>
      </c>
    </row>
    <row r="174" spans="1:9" s="191" customFormat="1" ht="15.75" x14ac:dyDescent="0.25">
      <c r="A174" s="29" t="s">
        <v>263</v>
      </c>
      <c r="B174" s="399" t="s">
        <v>1230</v>
      </c>
      <c r="C174" s="399" t="s">
        <v>264</v>
      </c>
      <c r="D174" s="399"/>
      <c r="E174" s="399"/>
      <c r="F174" s="399"/>
      <c r="G174" s="10">
        <f>G175+G192+G217</f>
        <v>227795.60800000001</v>
      </c>
      <c r="H174" s="10">
        <f>H175+H192+H217</f>
        <v>224826.35699999999</v>
      </c>
      <c r="I174" s="389">
        <f t="shared" si="25"/>
        <v>98.69652842472712</v>
      </c>
    </row>
    <row r="175" spans="1:9" s="191" customFormat="1" ht="15.75" x14ac:dyDescent="0.25">
      <c r="A175" s="45" t="s">
        <v>404</v>
      </c>
      <c r="B175" s="399" t="s">
        <v>1230</v>
      </c>
      <c r="C175" s="399" t="s">
        <v>264</v>
      </c>
      <c r="D175" s="399" t="s">
        <v>118</v>
      </c>
      <c r="E175" s="399"/>
      <c r="F175" s="399"/>
      <c r="G175" s="10">
        <f>G180+G184+G188+G176</f>
        <v>84767.164999999994</v>
      </c>
      <c r="H175" s="10">
        <f>H180+H184+H188+H176</f>
        <v>83643.203000000009</v>
      </c>
      <c r="I175" s="389">
        <f t="shared" si="25"/>
        <v>98.674059702244392</v>
      </c>
    </row>
    <row r="176" spans="1:9" s="191" customFormat="1" ht="82.9" customHeight="1" x14ac:dyDescent="0.25">
      <c r="A176" s="31" t="s">
        <v>293</v>
      </c>
      <c r="B176" s="392" t="s">
        <v>1389</v>
      </c>
      <c r="C176" s="399" t="s">
        <v>264</v>
      </c>
      <c r="D176" s="399" t="s">
        <v>118</v>
      </c>
      <c r="E176" s="399"/>
      <c r="F176" s="399"/>
      <c r="G176" s="389">
        <f>G177</f>
        <v>3230</v>
      </c>
      <c r="H176" s="389">
        <f>H177</f>
        <v>3122</v>
      </c>
      <c r="I176" s="389">
        <f t="shared" si="25"/>
        <v>96.656346749226003</v>
      </c>
    </row>
    <row r="177" spans="1:9" s="191" customFormat="1" ht="31.5" x14ac:dyDescent="0.25">
      <c r="A177" s="396" t="s">
        <v>272</v>
      </c>
      <c r="B177" s="392" t="s">
        <v>1389</v>
      </c>
      <c r="C177" s="399" t="s">
        <v>264</v>
      </c>
      <c r="D177" s="399" t="s">
        <v>118</v>
      </c>
      <c r="E177" s="399" t="s">
        <v>273</v>
      </c>
      <c r="F177" s="399"/>
      <c r="G177" s="389">
        <f>G178</f>
        <v>3230</v>
      </c>
      <c r="H177" s="389">
        <f>H178</f>
        <v>3122</v>
      </c>
      <c r="I177" s="389">
        <f t="shared" si="25"/>
        <v>96.656346749226003</v>
      </c>
    </row>
    <row r="178" spans="1:9" s="191" customFormat="1" ht="15.75" x14ac:dyDescent="0.25">
      <c r="A178" s="396" t="s">
        <v>274</v>
      </c>
      <c r="B178" s="392" t="s">
        <v>1389</v>
      </c>
      <c r="C178" s="399" t="s">
        <v>264</v>
      </c>
      <c r="D178" s="399" t="s">
        <v>118</v>
      </c>
      <c r="E178" s="399" t="s">
        <v>275</v>
      </c>
      <c r="F178" s="399"/>
      <c r="G178" s="389">
        <f>'Пр.3 Рд,пр, ЦС,ВР 21'!F557</f>
        <v>3230</v>
      </c>
      <c r="H178" s="389">
        <f>'Пр.3 Рд,пр, ЦС,ВР 21'!G557</f>
        <v>3122</v>
      </c>
      <c r="I178" s="389">
        <f t="shared" si="25"/>
        <v>96.656346749226003</v>
      </c>
    </row>
    <row r="179" spans="1:9" s="191" customFormat="1" ht="31.5" x14ac:dyDescent="0.25">
      <c r="A179" s="29" t="s">
        <v>403</v>
      </c>
      <c r="B179" s="392" t="s">
        <v>1389</v>
      </c>
      <c r="C179" s="399" t="s">
        <v>264</v>
      </c>
      <c r="D179" s="399" t="s">
        <v>118</v>
      </c>
      <c r="E179" s="399" t="s">
        <v>275</v>
      </c>
      <c r="F179" s="399" t="s">
        <v>636</v>
      </c>
      <c r="G179" s="10">
        <f>G178</f>
        <v>3230</v>
      </c>
      <c r="H179" s="10">
        <f>H178</f>
        <v>3122</v>
      </c>
      <c r="I179" s="389">
        <f t="shared" si="25"/>
        <v>96.656346749226003</v>
      </c>
    </row>
    <row r="180" spans="1:9" s="191" customFormat="1" ht="63" x14ac:dyDescent="0.25">
      <c r="A180" s="31" t="s">
        <v>289</v>
      </c>
      <c r="B180" s="392" t="s">
        <v>1231</v>
      </c>
      <c r="C180" s="399" t="s">
        <v>264</v>
      </c>
      <c r="D180" s="399" t="s">
        <v>118</v>
      </c>
      <c r="E180" s="399"/>
      <c r="F180" s="399"/>
      <c r="G180" s="389">
        <f>G181</f>
        <v>589</v>
      </c>
      <c r="H180" s="389">
        <f>H181</f>
        <v>365.92200000000003</v>
      </c>
      <c r="I180" s="389">
        <f t="shared" si="25"/>
        <v>62.125976230899838</v>
      </c>
    </row>
    <row r="181" spans="1:9" s="191" customFormat="1" ht="31.5" x14ac:dyDescent="0.25">
      <c r="A181" s="396" t="s">
        <v>272</v>
      </c>
      <c r="B181" s="392" t="s">
        <v>1231</v>
      </c>
      <c r="C181" s="399" t="s">
        <v>264</v>
      </c>
      <c r="D181" s="399" t="s">
        <v>118</v>
      </c>
      <c r="E181" s="399" t="s">
        <v>273</v>
      </c>
      <c r="F181" s="399"/>
      <c r="G181" s="389">
        <f>G182</f>
        <v>589</v>
      </c>
      <c r="H181" s="389">
        <f>H182</f>
        <v>365.92200000000003</v>
      </c>
      <c r="I181" s="389">
        <f t="shared" si="25"/>
        <v>62.125976230899838</v>
      </c>
    </row>
    <row r="182" spans="1:9" s="191" customFormat="1" ht="15.75" x14ac:dyDescent="0.25">
      <c r="A182" s="396" t="s">
        <v>274</v>
      </c>
      <c r="B182" s="392" t="s">
        <v>1231</v>
      </c>
      <c r="C182" s="399" t="s">
        <v>264</v>
      </c>
      <c r="D182" s="399" t="s">
        <v>118</v>
      </c>
      <c r="E182" s="399" t="s">
        <v>275</v>
      </c>
      <c r="F182" s="399"/>
      <c r="G182" s="389">
        <f>'Пр.3 Рд,пр, ЦС,ВР 21'!F560</f>
        <v>589</v>
      </c>
      <c r="H182" s="389">
        <f>'Пр.3 Рд,пр, ЦС,ВР 21'!G560</f>
        <v>365.92200000000003</v>
      </c>
      <c r="I182" s="389">
        <f t="shared" si="25"/>
        <v>62.125976230899838</v>
      </c>
    </row>
    <row r="183" spans="1:9" s="191" customFormat="1" ht="31.5" x14ac:dyDescent="0.25">
      <c r="A183" s="29" t="s">
        <v>403</v>
      </c>
      <c r="B183" s="392" t="s">
        <v>1231</v>
      </c>
      <c r="C183" s="399" t="s">
        <v>264</v>
      </c>
      <c r="D183" s="399" t="s">
        <v>118</v>
      </c>
      <c r="E183" s="399" t="s">
        <v>275</v>
      </c>
      <c r="F183" s="399" t="s">
        <v>636</v>
      </c>
      <c r="G183" s="10">
        <f>G182</f>
        <v>589</v>
      </c>
      <c r="H183" s="10">
        <f>H182</f>
        <v>365.92200000000003</v>
      </c>
      <c r="I183" s="389">
        <f t="shared" si="25"/>
        <v>62.125976230899838</v>
      </c>
    </row>
    <row r="184" spans="1:9" s="191" customFormat="1" ht="63" x14ac:dyDescent="0.25">
      <c r="A184" s="31" t="s">
        <v>291</v>
      </c>
      <c r="B184" s="392" t="s">
        <v>1232</v>
      </c>
      <c r="C184" s="399" t="s">
        <v>264</v>
      </c>
      <c r="D184" s="399" t="s">
        <v>118</v>
      </c>
      <c r="E184" s="399"/>
      <c r="F184" s="399"/>
      <c r="G184" s="389">
        <f>G185</f>
        <v>1497.5</v>
      </c>
      <c r="H184" s="389">
        <f>H185</f>
        <v>1197.864</v>
      </c>
      <c r="I184" s="389">
        <f t="shared" si="25"/>
        <v>79.990918196994997</v>
      </c>
    </row>
    <row r="185" spans="1:9" s="191" customFormat="1" ht="31.5" x14ac:dyDescent="0.25">
      <c r="A185" s="396" t="s">
        <v>272</v>
      </c>
      <c r="B185" s="392" t="s">
        <v>1232</v>
      </c>
      <c r="C185" s="399" t="s">
        <v>264</v>
      </c>
      <c r="D185" s="399" t="s">
        <v>118</v>
      </c>
      <c r="E185" s="399" t="s">
        <v>273</v>
      </c>
      <c r="F185" s="399"/>
      <c r="G185" s="389">
        <f>G186</f>
        <v>1497.5</v>
      </c>
      <c r="H185" s="389">
        <f>H186</f>
        <v>1197.864</v>
      </c>
      <c r="I185" s="389">
        <f t="shared" si="25"/>
        <v>79.990918196994997</v>
      </c>
    </row>
    <row r="186" spans="1:9" s="191" customFormat="1" ht="15.75" x14ac:dyDescent="0.25">
      <c r="A186" s="396" t="s">
        <v>274</v>
      </c>
      <c r="B186" s="392" t="s">
        <v>1232</v>
      </c>
      <c r="C186" s="399" t="s">
        <v>264</v>
      </c>
      <c r="D186" s="399" t="s">
        <v>118</v>
      </c>
      <c r="E186" s="399" t="s">
        <v>275</v>
      </c>
      <c r="F186" s="399"/>
      <c r="G186" s="389">
        <f>'Пр.3 Рд,пр, ЦС,ВР 21'!F563</f>
        <v>1497.5</v>
      </c>
      <c r="H186" s="389">
        <f>'Пр.3 Рд,пр, ЦС,ВР 21'!G563</f>
        <v>1197.864</v>
      </c>
      <c r="I186" s="389">
        <f t="shared" si="25"/>
        <v>79.990918196994997</v>
      </c>
    </row>
    <row r="187" spans="1:9" s="191" customFormat="1" ht="31.5" x14ac:dyDescent="0.25">
      <c r="A187" s="29" t="s">
        <v>403</v>
      </c>
      <c r="B187" s="392" t="s">
        <v>1232</v>
      </c>
      <c r="C187" s="399" t="s">
        <v>264</v>
      </c>
      <c r="D187" s="399" t="s">
        <v>118</v>
      </c>
      <c r="E187" s="399" t="s">
        <v>275</v>
      </c>
      <c r="F187" s="399" t="s">
        <v>636</v>
      </c>
      <c r="G187" s="10">
        <f>G186</f>
        <v>1497.5</v>
      </c>
      <c r="H187" s="10">
        <f>H186</f>
        <v>1197.864</v>
      </c>
      <c r="I187" s="389">
        <f t="shared" si="25"/>
        <v>79.990918196994997</v>
      </c>
    </row>
    <row r="188" spans="1:9" s="191" customFormat="1" ht="94.5" x14ac:dyDescent="0.25">
      <c r="A188" s="31" t="s">
        <v>1181</v>
      </c>
      <c r="B188" s="392" t="s">
        <v>1233</v>
      </c>
      <c r="C188" s="399" t="s">
        <v>264</v>
      </c>
      <c r="D188" s="399" t="s">
        <v>118</v>
      </c>
      <c r="E188" s="399"/>
      <c r="F188" s="399"/>
      <c r="G188" s="389">
        <f>G189</f>
        <v>79450.664999999994</v>
      </c>
      <c r="H188" s="389">
        <f>H189</f>
        <v>78957.417000000001</v>
      </c>
      <c r="I188" s="389">
        <f t="shared" si="25"/>
        <v>99.379177002483246</v>
      </c>
    </row>
    <row r="189" spans="1:9" s="191" customFormat="1" ht="31.5" x14ac:dyDescent="0.25">
      <c r="A189" s="396" t="s">
        <v>272</v>
      </c>
      <c r="B189" s="392" t="s">
        <v>1233</v>
      </c>
      <c r="C189" s="399" t="s">
        <v>264</v>
      </c>
      <c r="D189" s="399" t="s">
        <v>118</v>
      </c>
      <c r="E189" s="399" t="s">
        <v>273</v>
      </c>
      <c r="F189" s="399"/>
      <c r="G189" s="389">
        <f>G190</f>
        <v>79450.664999999994</v>
      </c>
      <c r="H189" s="389">
        <f>H190</f>
        <v>78957.417000000001</v>
      </c>
      <c r="I189" s="389">
        <f t="shared" si="25"/>
        <v>99.379177002483246</v>
      </c>
    </row>
    <row r="190" spans="1:9" s="191" customFormat="1" ht="15.75" x14ac:dyDescent="0.25">
      <c r="A190" s="396" t="s">
        <v>274</v>
      </c>
      <c r="B190" s="392" t="s">
        <v>1233</v>
      </c>
      <c r="C190" s="399" t="s">
        <v>264</v>
      </c>
      <c r="D190" s="399" t="s">
        <v>118</v>
      </c>
      <c r="E190" s="399" t="s">
        <v>275</v>
      </c>
      <c r="F190" s="399"/>
      <c r="G190" s="389">
        <f>'Пр.3 Рд,пр, ЦС,ВР 21'!F566</f>
        <v>79450.664999999994</v>
      </c>
      <c r="H190" s="389">
        <f>'Пр.3 Рд,пр, ЦС,ВР 21'!G566</f>
        <v>78957.417000000001</v>
      </c>
      <c r="I190" s="389">
        <f t="shared" si="25"/>
        <v>99.379177002483246</v>
      </c>
    </row>
    <row r="191" spans="1:9" s="191" customFormat="1" ht="31.5" x14ac:dyDescent="0.25">
      <c r="A191" s="29" t="s">
        <v>403</v>
      </c>
      <c r="B191" s="392" t="s">
        <v>1233</v>
      </c>
      <c r="C191" s="399" t="s">
        <v>264</v>
      </c>
      <c r="D191" s="399" t="s">
        <v>118</v>
      </c>
      <c r="E191" s="399" t="s">
        <v>275</v>
      </c>
      <c r="F191" s="399" t="s">
        <v>636</v>
      </c>
      <c r="G191" s="10">
        <f>G190</f>
        <v>79450.664999999994</v>
      </c>
      <c r="H191" s="10">
        <f>H190</f>
        <v>78957.417000000001</v>
      </c>
      <c r="I191" s="389">
        <f t="shared" si="25"/>
        <v>99.379177002483246</v>
      </c>
    </row>
    <row r="192" spans="1:9" ht="15.75" x14ac:dyDescent="0.25">
      <c r="A192" s="29" t="s">
        <v>425</v>
      </c>
      <c r="B192" s="399" t="s">
        <v>1230</v>
      </c>
      <c r="C192" s="399" t="s">
        <v>264</v>
      </c>
      <c r="D192" s="399" t="s">
        <v>213</v>
      </c>
      <c r="E192" s="399"/>
      <c r="F192" s="399"/>
      <c r="G192" s="10">
        <f>G201+G205+G209+G213+G197+G193</f>
        <v>140785.44300000003</v>
      </c>
      <c r="H192" s="10">
        <f>H201+H205+H209+H213+H197+H193</f>
        <v>139274.32999999999</v>
      </c>
      <c r="I192" s="389">
        <f t="shared" si="25"/>
        <v>98.926655364503816</v>
      </c>
    </row>
    <row r="193" spans="1:9" s="191" customFormat="1" ht="63" x14ac:dyDescent="0.25">
      <c r="A193" s="396" t="s">
        <v>1391</v>
      </c>
      <c r="B193" s="392" t="s">
        <v>1392</v>
      </c>
      <c r="C193" s="399" t="s">
        <v>264</v>
      </c>
      <c r="D193" s="399" t="s">
        <v>213</v>
      </c>
      <c r="E193" s="399"/>
      <c r="F193" s="399"/>
      <c r="G193" s="10">
        <f>G194</f>
        <v>7028</v>
      </c>
      <c r="H193" s="10">
        <f>H194</f>
        <v>6734.8</v>
      </c>
      <c r="I193" s="389">
        <f t="shared" si="25"/>
        <v>95.828116107000568</v>
      </c>
    </row>
    <row r="194" spans="1:9" s="191" customFormat="1" ht="31.5" x14ac:dyDescent="0.25">
      <c r="A194" s="396" t="s">
        <v>272</v>
      </c>
      <c r="B194" s="392" t="s">
        <v>1392</v>
      </c>
      <c r="C194" s="399" t="s">
        <v>264</v>
      </c>
      <c r="D194" s="399" t="s">
        <v>213</v>
      </c>
      <c r="E194" s="399" t="s">
        <v>273</v>
      </c>
      <c r="F194" s="399"/>
      <c r="G194" s="10">
        <f>G195</f>
        <v>7028</v>
      </c>
      <c r="H194" s="10">
        <f>H195</f>
        <v>6734.8</v>
      </c>
      <c r="I194" s="389">
        <f t="shared" si="25"/>
        <v>95.828116107000568</v>
      </c>
    </row>
    <row r="195" spans="1:9" s="191" customFormat="1" ht="15.75" x14ac:dyDescent="0.25">
      <c r="A195" s="396" t="s">
        <v>274</v>
      </c>
      <c r="B195" s="392" t="s">
        <v>1392</v>
      </c>
      <c r="C195" s="399" t="s">
        <v>264</v>
      </c>
      <c r="D195" s="399" t="s">
        <v>213</v>
      </c>
      <c r="E195" s="399" t="s">
        <v>275</v>
      </c>
      <c r="F195" s="399"/>
      <c r="G195" s="10">
        <f>'Пр.4 ведом.21'!G707</f>
        <v>7028</v>
      </c>
      <c r="H195" s="10">
        <f>'Пр.4 ведом.21'!H707</f>
        <v>6734.8</v>
      </c>
      <c r="I195" s="389">
        <f t="shared" si="25"/>
        <v>95.828116107000568</v>
      </c>
    </row>
    <row r="196" spans="1:9" s="191" customFormat="1" ht="31.5" x14ac:dyDescent="0.25">
      <c r="A196" s="45" t="s">
        <v>403</v>
      </c>
      <c r="B196" s="392" t="s">
        <v>1392</v>
      </c>
      <c r="C196" s="399" t="s">
        <v>264</v>
      </c>
      <c r="D196" s="399" t="s">
        <v>213</v>
      </c>
      <c r="E196" s="399" t="s">
        <v>275</v>
      </c>
      <c r="F196" s="399" t="s">
        <v>636</v>
      </c>
      <c r="G196" s="10">
        <f>G193</f>
        <v>7028</v>
      </c>
      <c r="H196" s="10">
        <f>H193</f>
        <v>6734.8</v>
      </c>
      <c r="I196" s="389">
        <f t="shared" si="25"/>
        <v>95.828116107000568</v>
      </c>
    </row>
    <row r="197" spans="1:9" s="191" customFormat="1" ht="94.5" x14ac:dyDescent="0.25">
      <c r="A197" s="31" t="s">
        <v>464</v>
      </c>
      <c r="B197" s="392" t="s">
        <v>1389</v>
      </c>
      <c r="C197" s="399" t="s">
        <v>264</v>
      </c>
      <c r="D197" s="399" t="s">
        <v>213</v>
      </c>
      <c r="E197" s="399"/>
      <c r="F197" s="399"/>
      <c r="G197" s="389">
        <f>G198</f>
        <v>4699.7370000000001</v>
      </c>
      <c r="H197" s="389">
        <f>H198</f>
        <v>4649.268</v>
      </c>
      <c r="I197" s="389">
        <f t="shared" si="25"/>
        <v>98.926131398416544</v>
      </c>
    </row>
    <row r="198" spans="1:9" s="191" customFormat="1" ht="31.5" x14ac:dyDescent="0.25">
      <c r="A198" s="396" t="s">
        <v>272</v>
      </c>
      <c r="B198" s="392" t="s">
        <v>1389</v>
      </c>
      <c r="C198" s="399" t="s">
        <v>264</v>
      </c>
      <c r="D198" s="399" t="s">
        <v>213</v>
      </c>
      <c r="E198" s="399" t="s">
        <v>273</v>
      </c>
      <c r="F198" s="399"/>
      <c r="G198" s="389">
        <f>G199</f>
        <v>4699.7370000000001</v>
      </c>
      <c r="H198" s="389">
        <f>H199</f>
        <v>4649.268</v>
      </c>
      <c r="I198" s="389">
        <f t="shared" si="25"/>
        <v>98.926131398416544</v>
      </c>
    </row>
    <row r="199" spans="1:9" s="191" customFormat="1" ht="15.75" x14ac:dyDescent="0.25">
      <c r="A199" s="396" t="s">
        <v>274</v>
      </c>
      <c r="B199" s="392" t="s">
        <v>1389</v>
      </c>
      <c r="C199" s="399" t="s">
        <v>264</v>
      </c>
      <c r="D199" s="399" t="s">
        <v>213</v>
      </c>
      <c r="E199" s="399" t="s">
        <v>275</v>
      </c>
      <c r="F199" s="399"/>
      <c r="G199" s="389">
        <f>'Пр.3 Рд,пр, ЦС,ВР 21'!F625</f>
        <v>4699.7370000000001</v>
      </c>
      <c r="H199" s="389">
        <f>'Пр.3 Рд,пр, ЦС,ВР 21'!G625</f>
        <v>4649.268</v>
      </c>
      <c r="I199" s="389">
        <f t="shared" si="25"/>
        <v>98.926131398416544</v>
      </c>
    </row>
    <row r="200" spans="1:9" s="191" customFormat="1" ht="31.5" x14ac:dyDescent="0.25">
      <c r="A200" s="29" t="s">
        <v>403</v>
      </c>
      <c r="B200" s="392" t="s">
        <v>1389</v>
      </c>
      <c r="C200" s="399" t="s">
        <v>264</v>
      </c>
      <c r="D200" s="399" t="s">
        <v>213</v>
      </c>
      <c r="E200" s="399" t="s">
        <v>275</v>
      </c>
      <c r="F200" s="399" t="s">
        <v>636</v>
      </c>
      <c r="G200" s="10">
        <f>G199</f>
        <v>4699.7370000000001</v>
      </c>
      <c r="H200" s="10">
        <f>H199</f>
        <v>4649.268</v>
      </c>
      <c r="I200" s="389">
        <f t="shared" si="25"/>
        <v>98.926131398416544</v>
      </c>
    </row>
    <row r="201" spans="1:9" s="191" customFormat="1" ht="78.75" x14ac:dyDescent="0.25">
      <c r="A201" s="31" t="s">
        <v>1182</v>
      </c>
      <c r="B201" s="392" t="s">
        <v>1248</v>
      </c>
      <c r="C201" s="399" t="s">
        <v>264</v>
      </c>
      <c r="D201" s="399" t="s">
        <v>213</v>
      </c>
      <c r="E201" s="399"/>
      <c r="F201" s="399"/>
      <c r="G201" s="389">
        <f>G202</f>
        <v>124618.84300000002</v>
      </c>
      <c r="H201" s="389">
        <f>H202</f>
        <v>124522.533</v>
      </c>
      <c r="I201" s="389">
        <f t="shared" si="25"/>
        <v>99.922716342343165</v>
      </c>
    </row>
    <row r="202" spans="1:9" s="191" customFormat="1" ht="31.5" x14ac:dyDescent="0.25">
      <c r="A202" s="396" t="s">
        <v>272</v>
      </c>
      <c r="B202" s="392" t="s">
        <v>1248</v>
      </c>
      <c r="C202" s="399" t="s">
        <v>264</v>
      </c>
      <c r="D202" s="399" t="s">
        <v>213</v>
      </c>
      <c r="E202" s="399" t="s">
        <v>273</v>
      </c>
      <c r="F202" s="399"/>
      <c r="G202" s="389">
        <f>G203</f>
        <v>124618.84300000002</v>
      </c>
      <c r="H202" s="389">
        <f>H203</f>
        <v>124522.533</v>
      </c>
      <c r="I202" s="389">
        <f t="shared" si="25"/>
        <v>99.922716342343165</v>
      </c>
    </row>
    <row r="203" spans="1:9" s="191" customFormat="1" ht="15.75" x14ac:dyDescent="0.25">
      <c r="A203" s="396" t="s">
        <v>274</v>
      </c>
      <c r="B203" s="392" t="s">
        <v>1248</v>
      </c>
      <c r="C203" s="399" t="s">
        <v>264</v>
      </c>
      <c r="D203" s="399" t="s">
        <v>213</v>
      </c>
      <c r="E203" s="399" t="s">
        <v>275</v>
      </c>
      <c r="F203" s="399"/>
      <c r="G203" s="389">
        <f>'Пр.3 Рд,пр, ЦС,ВР 21'!F628</f>
        <v>124618.84300000002</v>
      </c>
      <c r="H203" s="389">
        <f>'Пр.3 Рд,пр, ЦС,ВР 21'!G628</f>
        <v>124522.533</v>
      </c>
      <c r="I203" s="389">
        <f t="shared" si="25"/>
        <v>99.922716342343165</v>
      </c>
    </row>
    <row r="204" spans="1:9" s="191" customFormat="1" ht="31.5" x14ac:dyDescent="0.25">
      <c r="A204" s="29" t="s">
        <v>403</v>
      </c>
      <c r="B204" s="392" t="s">
        <v>1248</v>
      </c>
      <c r="C204" s="399" t="s">
        <v>264</v>
      </c>
      <c r="D204" s="399" t="s">
        <v>213</v>
      </c>
      <c r="E204" s="399" t="s">
        <v>275</v>
      </c>
      <c r="F204" s="399" t="s">
        <v>636</v>
      </c>
      <c r="G204" s="10">
        <f>G203</f>
        <v>124618.84300000002</v>
      </c>
      <c r="H204" s="10">
        <f>H203</f>
        <v>124522.533</v>
      </c>
      <c r="I204" s="389">
        <f t="shared" si="25"/>
        <v>99.922716342343165</v>
      </c>
    </row>
    <row r="205" spans="1:9" s="191" customFormat="1" ht="63" x14ac:dyDescent="0.25">
      <c r="A205" s="31" t="s">
        <v>289</v>
      </c>
      <c r="B205" s="392" t="s">
        <v>1231</v>
      </c>
      <c r="C205" s="399" t="s">
        <v>264</v>
      </c>
      <c r="D205" s="399" t="s">
        <v>213</v>
      </c>
      <c r="E205" s="399"/>
      <c r="F205" s="399"/>
      <c r="G205" s="389">
        <f>G206</f>
        <v>1152.2629999999999</v>
      </c>
      <c r="H205" s="389">
        <f>H206</f>
        <v>606.80700000000002</v>
      </c>
      <c r="I205" s="389">
        <f t="shared" si="25"/>
        <v>52.662196043785144</v>
      </c>
    </row>
    <row r="206" spans="1:9" s="191" customFormat="1" ht="31.5" x14ac:dyDescent="0.25">
      <c r="A206" s="396" t="s">
        <v>272</v>
      </c>
      <c r="B206" s="392" t="s">
        <v>1231</v>
      </c>
      <c r="C206" s="399" t="s">
        <v>264</v>
      </c>
      <c r="D206" s="399" t="s">
        <v>213</v>
      </c>
      <c r="E206" s="399" t="s">
        <v>273</v>
      </c>
      <c r="F206" s="399"/>
      <c r="G206" s="389">
        <f>G207</f>
        <v>1152.2629999999999</v>
      </c>
      <c r="H206" s="389">
        <f>H207</f>
        <v>606.80700000000002</v>
      </c>
      <c r="I206" s="389">
        <f t="shared" si="25"/>
        <v>52.662196043785144</v>
      </c>
    </row>
    <row r="207" spans="1:9" s="191" customFormat="1" ht="15.75" x14ac:dyDescent="0.25">
      <c r="A207" s="396" t="s">
        <v>274</v>
      </c>
      <c r="B207" s="392" t="s">
        <v>1231</v>
      </c>
      <c r="C207" s="399" t="s">
        <v>264</v>
      </c>
      <c r="D207" s="399" t="s">
        <v>213</v>
      </c>
      <c r="E207" s="399" t="s">
        <v>275</v>
      </c>
      <c r="F207" s="399"/>
      <c r="G207" s="389">
        <f>'Пр.3 Рд,пр, ЦС,ВР 21'!F631</f>
        <v>1152.2629999999999</v>
      </c>
      <c r="H207" s="389">
        <f>'Пр.3 Рд,пр, ЦС,ВР 21'!G631</f>
        <v>606.80700000000002</v>
      </c>
      <c r="I207" s="389">
        <f t="shared" si="25"/>
        <v>52.662196043785144</v>
      </c>
    </row>
    <row r="208" spans="1:9" s="191" customFormat="1" ht="31.5" x14ac:dyDescent="0.25">
      <c r="A208" s="29" t="s">
        <v>403</v>
      </c>
      <c r="B208" s="392" t="s">
        <v>1231</v>
      </c>
      <c r="C208" s="399" t="s">
        <v>264</v>
      </c>
      <c r="D208" s="399" t="s">
        <v>213</v>
      </c>
      <c r="E208" s="399" t="s">
        <v>275</v>
      </c>
      <c r="F208" s="399" t="s">
        <v>636</v>
      </c>
      <c r="G208" s="10">
        <f>G207</f>
        <v>1152.2629999999999</v>
      </c>
      <c r="H208" s="10">
        <f>H207</f>
        <v>606.80700000000002</v>
      </c>
      <c r="I208" s="389">
        <f t="shared" si="25"/>
        <v>52.662196043785144</v>
      </c>
    </row>
    <row r="209" spans="1:9" s="191" customFormat="1" ht="63" x14ac:dyDescent="0.25">
      <c r="A209" s="31" t="s">
        <v>291</v>
      </c>
      <c r="B209" s="392" t="s">
        <v>1232</v>
      </c>
      <c r="C209" s="399" t="s">
        <v>264</v>
      </c>
      <c r="D209" s="399" t="s">
        <v>213</v>
      </c>
      <c r="E209" s="399"/>
      <c r="F209" s="399"/>
      <c r="G209" s="389">
        <f>G210</f>
        <v>2386.6</v>
      </c>
      <c r="H209" s="389">
        <f>H210</f>
        <v>1998.92</v>
      </c>
      <c r="I209" s="389">
        <f t="shared" ref="I209:I272" si="29">H209/G209*100</f>
        <v>83.755970837174232</v>
      </c>
    </row>
    <row r="210" spans="1:9" s="191" customFormat="1" ht="31.5" x14ac:dyDescent="0.25">
      <c r="A210" s="396" t="s">
        <v>272</v>
      </c>
      <c r="B210" s="392" t="s">
        <v>1232</v>
      </c>
      <c r="C210" s="399" t="s">
        <v>264</v>
      </c>
      <c r="D210" s="399" t="s">
        <v>213</v>
      </c>
      <c r="E210" s="399" t="s">
        <v>273</v>
      </c>
      <c r="F210" s="399"/>
      <c r="G210" s="389">
        <f>G211</f>
        <v>2386.6</v>
      </c>
      <c r="H210" s="389">
        <f>H211</f>
        <v>1998.92</v>
      </c>
      <c r="I210" s="389">
        <f t="shared" si="29"/>
        <v>83.755970837174232</v>
      </c>
    </row>
    <row r="211" spans="1:9" s="191" customFormat="1" ht="15.75" x14ac:dyDescent="0.25">
      <c r="A211" s="396" t="s">
        <v>274</v>
      </c>
      <c r="B211" s="392" t="s">
        <v>1232</v>
      </c>
      <c r="C211" s="399" t="s">
        <v>264</v>
      </c>
      <c r="D211" s="399" t="s">
        <v>213</v>
      </c>
      <c r="E211" s="399" t="s">
        <v>275</v>
      </c>
      <c r="F211" s="399"/>
      <c r="G211" s="389">
        <f>'Пр.3 Рд,пр, ЦС,ВР 21'!F634</f>
        <v>2386.6</v>
      </c>
      <c r="H211" s="389">
        <f>'Пр.3 Рд,пр, ЦС,ВР 21'!G634</f>
        <v>1998.92</v>
      </c>
      <c r="I211" s="389">
        <f t="shared" si="29"/>
        <v>83.755970837174232</v>
      </c>
    </row>
    <row r="212" spans="1:9" s="191" customFormat="1" ht="31.5" x14ac:dyDescent="0.25">
      <c r="A212" s="29" t="s">
        <v>403</v>
      </c>
      <c r="B212" s="392" t="s">
        <v>1232</v>
      </c>
      <c r="C212" s="399" t="s">
        <v>264</v>
      </c>
      <c r="D212" s="399" t="s">
        <v>213</v>
      </c>
      <c r="E212" s="399" t="s">
        <v>275</v>
      </c>
      <c r="F212" s="399" t="s">
        <v>636</v>
      </c>
      <c r="G212" s="10">
        <f>G211</f>
        <v>2386.6</v>
      </c>
      <c r="H212" s="10">
        <f>H211</f>
        <v>1998.92</v>
      </c>
      <c r="I212" s="389">
        <f t="shared" si="29"/>
        <v>83.755970837174232</v>
      </c>
    </row>
    <row r="213" spans="1:9" s="191" customFormat="1" ht="47.25" x14ac:dyDescent="0.25">
      <c r="A213" s="31" t="s">
        <v>462</v>
      </c>
      <c r="B213" s="392" t="s">
        <v>1249</v>
      </c>
      <c r="C213" s="399" t="s">
        <v>264</v>
      </c>
      <c r="D213" s="399" t="s">
        <v>213</v>
      </c>
      <c r="E213" s="399"/>
      <c r="F213" s="399"/>
      <c r="G213" s="389">
        <f>G214</f>
        <v>900</v>
      </c>
      <c r="H213" s="389">
        <f>H214</f>
        <v>762.00199999999995</v>
      </c>
      <c r="I213" s="389">
        <f t="shared" si="29"/>
        <v>84.666888888888877</v>
      </c>
    </row>
    <row r="214" spans="1:9" s="191" customFormat="1" ht="31.5" x14ac:dyDescent="0.25">
      <c r="A214" s="396" t="s">
        <v>272</v>
      </c>
      <c r="B214" s="392" t="s">
        <v>1249</v>
      </c>
      <c r="C214" s="399" t="s">
        <v>264</v>
      </c>
      <c r="D214" s="399" t="s">
        <v>213</v>
      </c>
      <c r="E214" s="399" t="s">
        <v>273</v>
      </c>
      <c r="F214" s="399"/>
      <c r="G214" s="389">
        <f>G215</f>
        <v>900</v>
      </c>
      <c r="H214" s="389">
        <f>H215</f>
        <v>762.00199999999995</v>
      </c>
      <c r="I214" s="389">
        <f t="shared" si="29"/>
        <v>84.666888888888877</v>
      </c>
    </row>
    <row r="215" spans="1:9" s="191" customFormat="1" ht="15.75" x14ac:dyDescent="0.25">
      <c r="A215" s="396" t="s">
        <v>274</v>
      </c>
      <c r="B215" s="392" t="s">
        <v>1249</v>
      </c>
      <c r="C215" s="399" t="s">
        <v>264</v>
      </c>
      <c r="D215" s="399" t="s">
        <v>213</v>
      </c>
      <c r="E215" s="399" t="s">
        <v>275</v>
      </c>
      <c r="F215" s="399"/>
      <c r="G215" s="389">
        <f>'Пр.3 Рд,пр, ЦС,ВР 21'!F637</f>
        <v>900</v>
      </c>
      <c r="H215" s="389">
        <f>'Пр.3 Рд,пр, ЦС,ВР 21'!G637</f>
        <v>762.00199999999995</v>
      </c>
      <c r="I215" s="389">
        <f t="shared" si="29"/>
        <v>84.666888888888877</v>
      </c>
    </row>
    <row r="216" spans="1:9" s="191" customFormat="1" ht="31.5" x14ac:dyDescent="0.25">
      <c r="A216" s="29" t="s">
        <v>403</v>
      </c>
      <c r="B216" s="392" t="s">
        <v>1249</v>
      </c>
      <c r="C216" s="399" t="s">
        <v>264</v>
      </c>
      <c r="D216" s="399" t="s">
        <v>213</v>
      </c>
      <c r="E216" s="399" t="s">
        <v>275</v>
      </c>
      <c r="F216" s="399" t="s">
        <v>636</v>
      </c>
      <c r="G216" s="10">
        <f>G215</f>
        <v>900</v>
      </c>
      <c r="H216" s="10">
        <f>H215</f>
        <v>762.00199999999995</v>
      </c>
      <c r="I216" s="389">
        <f t="shared" si="29"/>
        <v>84.666888888888877</v>
      </c>
    </row>
    <row r="217" spans="1:9" ht="15.75" x14ac:dyDescent="0.25">
      <c r="A217" s="29" t="s">
        <v>265</v>
      </c>
      <c r="B217" s="399" t="s">
        <v>1230</v>
      </c>
      <c r="C217" s="399" t="s">
        <v>264</v>
      </c>
      <c r="D217" s="399" t="s">
        <v>215</v>
      </c>
      <c r="E217" s="399"/>
      <c r="F217" s="399"/>
      <c r="G217" s="389">
        <f>G222+G226+G218</f>
        <v>2243</v>
      </c>
      <c r="H217" s="389">
        <f>H222+H226+H218</f>
        <v>1908.8240000000001</v>
      </c>
      <c r="I217" s="389">
        <f t="shared" si="29"/>
        <v>85.101382077574684</v>
      </c>
    </row>
    <row r="218" spans="1:9" s="191" customFormat="1" ht="94.5" x14ac:dyDescent="0.25">
      <c r="A218" s="31" t="s">
        <v>293</v>
      </c>
      <c r="B218" s="392" t="s">
        <v>1389</v>
      </c>
      <c r="C218" s="399" t="s">
        <v>264</v>
      </c>
      <c r="D218" s="399" t="s">
        <v>215</v>
      </c>
      <c r="E218" s="399"/>
      <c r="F218" s="399"/>
      <c r="G218" s="389">
        <f>G219</f>
        <v>1400</v>
      </c>
      <c r="H218" s="389">
        <f>H219</f>
        <v>1296</v>
      </c>
      <c r="I218" s="389">
        <f t="shared" si="29"/>
        <v>92.571428571428569</v>
      </c>
    </row>
    <row r="219" spans="1:9" s="191" customFormat="1" ht="31.5" x14ac:dyDescent="0.25">
      <c r="A219" s="396" t="s">
        <v>272</v>
      </c>
      <c r="B219" s="392" t="s">
        <v>1389</v>
      </c>
      <c r="C219" s="399" t="s">
        <v>264</v>
      </c>
      <c r="D219" s="399" t="s">
        <v>215</v>
      </c>
      <c r="E219" s="399" t="s">
        <v>273</v>
      </c>
      <c r="F219" s="399"/>
      <c r="G219" s="389">
        <f>G220</f>
        <v>1400</v>
      </c>
      <c r="H219" s="389">
        <f>H220</f>
        <v>1296</v>
      </c>
      <c r="I219" s="389">
        <f t="shared" si="29"/>
        <v>92.571428571428569</v>
      </c>
    </row>
    <row r="220" spans="1:9" s="191" customFormat="1" ht="15.75" x14ac:dyDescent="0.25">
      <c r="A220" s="396" t="s">
        <v>274</v>
      </c>
      <c r="B220" s="392" t="s">
        <v>1389</v>
      </c>
      <c r="C220" s="399" t="s">
        <v>264</v>
      </c>
      <c r="D220" s="399" t="s">
        <v>215</v>
      </c>
      <c r="E220" s="399" t="s">
        <v>275</v>
      </c>
      <c r="F220" s="399"/>
      <c r="G220" s="389">
        <f>'Пр.4 ведом.21'!G803</f>
        <v>1400</v>
      </c>
      <c r="H220" s="389">
        <f>'Пр.4 ведом.21'!H803</f>
        <v>1296</v>
      </c>
      <c r="I220" s="389">
        <f t="shared" si="29"/>
        <v>92.571428571428569</v>
      </c>
    </row>
    <row r="221" spans="1:9" s="191" customFormat="1" ht="31.5" x14ac:dyDescent="0.25">
      <c r="A221" s="29" t="s">
        <v>403</v>
      </c>
      <c r="B221" s="392" t="s">
        <v>1389</v>
      </c>
      <c r="C221" s="399" t="s">
        <v>264</v>
      </c>
      <c r="D221" s="399" t="s">
        <v>215</v>
      </c>
      <c r="E221" s="399" t="s">
        <v>275</v>
      </c>
      <c r="F221" s="399" t="s">
        <v>636</v>
      </c>
      <c r="G221" s="10">
        <f>G220</f>
        <v>1400</v>
      </c>
      <c r="H221" s="10">
        <f>H220</f>
        <v>1296</v>
      </c>
      <c r="I221" s="389">
        <f t="shared" si="29"/>
        <v>92.571428571428569</v>
      </c>
    </row>
    <row r="222" spans="1:9" s="191" customFormat="1" ht="63" x14ac:dyDescent="0.25">
      <c r="A222" s="31" t="s">
        <v>289</v>
      </c>
      <c r="B222" s="392" t="s">
        <v>1231</v>
      </c>
      <c r="C222" s="399" t="s">
        <v>264</v>
      </c>
      <c r="D222" s="399" t="s">
        <v>215</v>
      </c>
      <c r="E222" s="399"/>
      <c r="F222" s="399"/>
      <c r="G222" s="389">
        <f>G223</f>
        <v>179</v>
      </c>
      <c r="H222" s="389">
        <f>H223</f>
        <v>55.732999999999997</v>
      </c>
      <c r="I222" s="389">
        <f t="shared" si="29"/>
        <v>31.13575418994413</v>
      </c>
    </row>
    <row r="223" spans="1:9" s="191" customFormat="1" ht="31.5" x14ac:dyDescent="0.25">
      <c r="A223" s="396" t="s">
        <v>272</v>
      </c>
      <c r="B223" s="392" t="s">
        <v>1231</v>
      </c>
      <c r="C223" s="399" t="s">
        <v>264</v>
      </c>
      <c r="D223" s="399" t="s">
        <v>215</v>
      </c>
      <c r="E223" s="399" t="s">
        <v>273</v>
      </c>
      <c r="F223" s="399"/>
      <c r="G223" s="389">
        <f>G224</f>
        <v>179</v>
      </c>
      <c r="H223" s="389">
        <f>H224</f>
        <v>55.732999999999997</v>
      </c>
      <c r="I223" s="389">
        <f t="shared" si="29"/>
        <v>31.13575418994413</v>
      </c>
    </row>
    <row r="224" spans="1:9" s="191" customFormat="1" ht="15.75" x14ac:dyDescent="0.25">
      <c r="A224" s="396" t="s">
        <v>274</v>
      </c>
      <c r="B224" s="392" t="s">
        <v>1231</v>
      </c>
      <c r="C224" s="399" t="s">
        <v>264</v>
      </c>
      <c r="D224" s="399" t="s">
        <v>215</v>
      </c>
      <c r="E224" s="399" t="s">
        <v>275</v>
      </c>
      <c r="F224" s="399"/>
      <c r="G224" s="389">
        <f>'Пр.4 ведом.21'!G807</f>
        <v>179</v>
      </c>
      <c r="H224" s="389">
        <f>'Пр.4 ведом.21'!H807</f>
        <v>55.732999999999997</v>
      </c>
      <c r="I224" s="389">
        <f t="shared" si="29"/>
        <v>31.13575418994413</v>
      </c>
    </row>
    <row r="225" spans="1:9" s="191" customFormat="1" ht="31.5" x14ac:dyDescent="0.25">
      <c r="A225" s="29" t="s">
        <v>403</v>
      </c>
      <c r="B225" s="392" t="s">
        <v>1231</v>
      </c>
      <c r="C225" s="399" t="s">
        <v>264</v>
      </c>
      <c r="D225" s="399" t="s">
        <v>215</v>
      </c>
      <c r="E225" s="399" t="s">
        <v>275</v>
      </c>
      <c r="F225" s="399" t="s">
        <v>636</v>
      </c>
      <c r="G225" s="10">
        <f>G224</f>
        <v>179</v>
      </c>
      <c r="H225" s="10">
        <f>H224</f>
        <v>55.732999999999997</v>
      </c>
      <c r="I225" s="389">
        <f t="shared" si="29"/>
        <v>31.13575418994413</v>
      </c>
    </row>
    <row r="226" spans="1:9" s="191" customFormat="1" ht="63" x14ac:dyDescent="0.25">
      <c r="A226" s="31" t="s">
        <v>291</v>
      </c>
      <c r="B226" s="392" t="s">
        <v>1232</v>
      </c>
      <c r="C226" s="399" t="s">
        <v>264</v>
      </c>
      <c r="D226" s="399" t="s">
        <v>215</v>
      </c>
      <c r="E226" s="399"/>
      <c r="F226" s="399"/>
      <c r="G226" s="389">
        <f>G227</f>
        <v>664</v>
      </c>
      <c r="H226" s="389">
        <f>H227</f>
        <v>557.09100000000001</v>
      </c>
      <c r="I226" s="389">
        <f t="shared" si="29"/>
        <v>83.899246987951798</v>
      </c>
    </row>
    <row r="227" spans="1:9" s="191" customFormat="1" ht="31.5" x14ac:dyDescent="0.25">
      <c r="A227" s="396" t="s">
        <v>272</v>
      </c>
      <c r="B227" s="392" t="s">
        <v>1232</v>
      </c>
      <c r="C227" s="399" t="s">
        <v>264</v>
      </c>
      <c r="D227" s="399" t="s">
        <v>215</v>
      </c>
      <c r="E227" s="399" t="s">
        <v>273</v>
      </c>
      <c r="F227" s="399"/>
      <c r="G227" s="389">
        <f>G228</f>
        <v>664</v>
      </c>
      <c r="H227" s="389">
        <f>H228</f>
        <v>557.09100000000001</v>
      </c>
      <c r="I227" s="389">
        <f t="shared" si="29"/>
        <v>83.899246987951798</v>
      </c>
    </row>
    <row r="228" spans="1:9" s="191" customFormat="1" ht="15.75" x14ac:dyDescent="0.25">
      <c r="A228" s="396" t="s">
        <v>274</v>
      </c>
      <c r="B228" s="392" t="s">
        <v>1232</v>
      </c>
      <c r="C228" s="399" t="s">
        <v>264</v>
      </c>
      <c r="D228" s="399" t="s">
        <v>215</v>
      </c>
      <c r="E228" s="399" t="s">
        <v>275</v>
      </c>
      <c r="F228" s="399"/>
      <c r="G228" s="389">
        <f>'Пр.4 ведом.21'!G810</f>
        <v>664</v>
      </c>
      <c r="H228" s="389">
        <f>'Пр.4 ведом.21'!H810</f>
        <v>557.09100000000001</v>
      </c>
      <c r="I228" s="389">
        <f t="shared" si="29"/>
        <v>83.899246987951798</v>
      </c>
    </row>
    <row r="229" spans="1:9" s="191" customFormat="1" ht="31.5" x14ac:dyDescent="0.25">
      <c r="A229" s="29" t="s">
        <v>403</v>
      </c>
      <c r="B229" s="392" t="s">
        <v>1232</v>
      </c>
      <c r="C229" s="399" t="s">
        <v>264</v>
      </c>
      <c r="D229" s="399" t="s">
        <v>215</v>
      </c>
      <c r="E229" s="399" t="s">
        <v>275</v>
      </c>
      <c r="F229" s="399" t="s">
        <v>636</v>
      </c>
      <c r="G229" s="10">
        <f>G228</f>
        <v>664</v>
      </c>
      <c r="H229" s="10">
        <f>H228</f>
        <v>557.09100000000001</v>
      </c>
      <c r="I229" s="389">
        <f t="shared" si="29"/>
        <v>83.899246987951798</v>
      </c>
    </row>
    <row r="230" spans="1:9" s="191" customFormat="1" ht="31.5" x14ac:dyDescent="0.25">
      <c r="A230" s="394" t="s">
        <v>1290</v>
      </c>
      <c r="B230" s="395" t="s">
        <v>1235</v>
      </c>
      <c r="C230" s="7"/>
      <c r="D230" s="7"/>
      <c r="E230" s="7"/>
      <c r="F230" s="7"/>
      <c r="G230" s="59">
        <f>G231+G245</f>
        <v>5295.5999999999995</v>
      </c>
      <c r="H230" s="59">
        <f>H231+H245</f>
        <v>5155.8909999999996</v>
      </c>
      <c r="I230" s="492">
        <f t="shared" si="29"/>
        <v>97.361790920764406</v>
      </c>
    </row>
    <row r="231" spans="1:9" ht="15.75" x14ac:dyDescent="0.25">
      <c r="A231" s="29" t="s">
        <v>263</v>
      </c>
      <c r="B231" s="392" t="s">
        <v>1235</v>
      </c>
      <c r="C231" s="399" t="s">
        <v>264</v>
      </c>
      <c r="D231" s="399"/>
      <c r="E231" s="399"/>
      <c r="F231" s="399"/>
      <c r="G231" s="10">
        <f t="shared" ref="G231:H231" si="30">G232</f>
        <v>4368.3999999999996</v>
      </c>
      <c r="H231" s="10">
        <f t="shared" si="30"/>
        <v>4333.4089999999997</v>
      </c>
      <c r="I231" s="389">
        <f t="shared" si="29"/>
        <v>99.198997344565527</v>
      </c>
    </row>
    <row r="232" spans="1:9" ht="15.75" x14ac:dyDescent="0.25">
      <c r="A232" s="45" t="s">
        <v>404</v>
      </c>
      <c r="B232" s="392" t="s">
        <v>1235</v>
      </c>
      <c r="C232" s="399" t="s">
        <v>264</v>
      </c>
      <c r="D232" s="399" t="s">
        <v>118</v>
      </c>
      <c r="E232" s="399"/>
      <c r="F232" s="399"/>
      <c r="G232" s="10">
        <f>G233+G237+G241</f>
        <v>4368.3999999999996</v>
      </c>
      <c r="H232" s="10">
        <f>H233+H237+H241</f>
        <v>4333.4089999999997</v>
      </c>
      <c r="I232" s="389">
        <f t="shared" si="29"/>
        <v>99.198997344565527</v>
      </c>
    </row>
    <row r="233" spans="1:9" ht="31.5" x14ac:dyDescent="0.25">
      <c r="A233" s="29" t="s">
        <v>278</v>
      </c>
      <c r="B233" s="392" t="s">
        <v>1316</v>
      </c>
      <c r="C233" s="399" t="s">
        <v>264</v>
      </c>
      <c r="D233" s="399" t="s">
        <v>118</v>
      </c>
      <c r="E233" s="399"/>
      <c r="F233" s="399"/>
      <c r="G233" s="10">
        <f t="shared" ref="G233:H234" si="31">G234</f>
        <v>61.400000000000006</v>
      </c>
      <c r="H233" s="10">
        <f t="shared" si="31"/>
        <v>61.357999999999997</v>
      </c>
      <c r="I233" s="389">
        <f t="shared" si="29"/>
        <v>99.931596091205193</v>
      </c>
    </row>
    <row r="234" spans="1:9" ht="31.5" x14ac:dyDescent="0.25">
      <c r="A234" s="29" t="s">
        <v>272</v>
      </c>
      <c r="B234" s="392" t="s">
        <v>1316</v>
      </c>
      <c r="C234" s="399" t="s">
        <v>264</v>
      </c>
      <c r="D234" s="399" t="s">
        <v>118</v>
      </c>
      <c r="E234" s="399" t="s">
        <v>273</v>
      </c>
      <c r="F234" s="399"/>
      <c r="G234" s="10">
        <f t="shared" si="31"/>
        <v>61.400000000000006</v>
      </c>
      <c r="H234" s="10">
        <f t="shared" si="31"/>
        <v>61.357999999999997</v>
      </c>
      <c r="I234" s="389">
        <f t="shared" si="29"/>
        <v>99.931596091205193</v>
      </c>
    </row>
    <row r="235" spans="1:9" ht="15.75" x14ac:dyDescent="0.25">
      <c r="A235" s="29" t="s">
        <v>274</v>
      </c>
      <c r="B235" s="392" t="s">
        <v>1316</v>
      </c>
      <c r="C235" s="399" t="s">
        <v>264</v>
      </c>
      <c r="D235" s="399" t="s">
        <v>118</v>
      </c>
      <c r="E235" s="399" t="s">
        <v>275</v>
      </c>
      <c r="F235" s="399"/>
      <c r="G235" s="10">
        <f>'Пр.4 ведом.21'!G652</f>
        <v>61.400000000000006</v>
      </c>
      <c r="H235" s="10">
        <f>'Пр.4 ведом.21'!H652</f>
        <v>61.357999999999997</v>
      </c>
      <c r="I235" s="389">
        <f t="shared" si="29"/>
        <v>99.931596091205193</v>
      </c>
    </row>
    <row r="236" spans="1:9" s="191" customFormat="1" ht="31.5" x14ac:dyDescent="0.25">
      <c r="A236" s="29" t="s">
        <v>403</v>
      </c>
      <c r="B236" s="392" t="s">
        <v>1316</v>
      </c>
      <c r="C236" s="399" t="s">
        <v>264</v>
      </c>
      <c r="D236" s="399" t="s">
        <v>118</v>
      </c>
      <c r="E236" s="399" t="s">
        <v>275</v>
      </c>
      <c r="F236" s="399" t="s">
        <v>636</v>
      </c>
      <c r="G236" s="10">
        <f>G235</f>
        <v>61.400000000000006</v>
      </c>
      <c r="H236" s="10">
        <f>H235</f>
        <v>61.357999999999997</v>
      </c>
      <c r="I236" s="389">
        <f t="shared" si="29"/>
        <v>99.931596091205193</v>
      </c>
    </row>
    <row r="237" spans="1:9" ht="31.7" customHeight="1" x14ac:dyDescent="0.25">
      <c r="A237" s="29" t="s">
        <v>280</v>
      </c>
      <c r="B237" s="392" t="s">
        <v>1317</v>
      </c>
      <c r="C237" s="399" t="s">
        <v>264</v>
      </c>
      <c r="D237" s="399" t="s">
        <v>118</v>
      </c>
      <c r="E237" s="399"/>
      <c r="F237" s="399"/>
      <c r="G237" s="10">
        <f t="shared" ref="G237:H238" si="32">G238</f>
        <v>357</v>
      </c>
      <c r="H237" s="10">
        <f t="shared" si="32"/>
        <v>356.19099999999997</v>
      </c>
      <c r="I237" s="389">
        <f t="shared" si="29"/>
        <v>99.773389355742296</v>
      </c>
    </row>
    <row r="238" spans="1:9" ht="31.7" customHeight="1" x14ac:dyDescent="0.25">
      <c r="A238" s="29" t="s">
        <v>272</v>
      </c>
      <c r="B238" s="392" t="s">
        <v>1317</v>
      </c>
      <c r="C238" s="399" t="s">
        <v>264</v>
      </c>
      <c r="D238" s="399" t="s">
        <v>118</v>
      </c>
      <c r="E238" s="399" t="s">
        <v>273</v>
      </c>
      <c r="F238" s="399"/>
      <c r="G238" s="10">
        <f t="shared" si="32"/>
        <v>357</v>
      </c>
      <c r="H238" s="10">
        <f t="shared" si="32"/>
        <v>356.19099999999997</v>
      </c>
      <c r="I238" s="389">
        <f t="shared" si="29"/>
        <v>99.773389355742296</v>
      </c>
    </row>
    <row r="239" spans="1:9" ht="15.75" customHeight="1" x14ac:dyDescent="0.25">
      <c r="A239" s="29" t="s">
        <v>274</v>
      </c>
      <c r="B239" s="392" t="s">
        <v>1317</v>
      </c>
      <c r="C239" s="399" t="s">
        <v>264</v>
      </c>
      <c r="D239" s="399" t="s">
        <v>118</v>
      </c>
      <c r="E239" s="399" t="s">
        <v>275</v>
      </c>
      <c r="F239" s="399"/>
      <c r="G239" s="10">
        <f>'Пр.4 ведом.21'!G655</f>
        <v>357</v>
      </c>
      <c r="H239" s="10">
        <f>'Пр.4 ведом.21'!H655</f>
        <v>356.19099999999997</v>
      </c>
      <c r="I239" s="389">
        <f t="shared" si="29"/>
        <v>99.773389355742296</v>
      </c>
    </row>
    <row r="240" spans="1:9" s="191" customFormat="1" ht="35.450000000000003" customHeight="1" x14ac:dyDescent="0.25">
      <c r="A240" s="29" t="s">
        <v>403</v>
      </c>
      <c r="B240" s="392" t="s">
        <v>1317</v>
      </c>
      <c r="C240" s="399" t="s">
        <v>264</v>
      </c>
      <c r="D240" s="399" t="s">
        <v>118</v>
      </c>
      <c r="E240" s="399" t="s">
        <v>275</v>
      </c>
      <c r="F240" s="399" t="s">
        <v>636</v>
      </c>
      <c r="G240" s="10">
        <f>G239</f>
        <v>357</v>
      </c>
      <c r="H240" s="10">
        <f>H239</f>
        <v>356.19099999999997</v>
      </c>
      <c r="I240" s="389">
        <f t="shared" si="29"/>
        <v>99.773389355742296</v>
      </c>
    </row>
    <row r="241" spans="1:9" ht="31.5" x14ac:dyDescent="0.25">
      <c r="A241" s="29" t="s">
        <v>415</v>
      </c>
      <c r="B241" s="392" t="s">
        <v>1236</v>
      </c>
      <c r="C241" s="399" t="s">
        <v>264</v>
      </c>
      <c r="D241" s="399" t="s">
        <v>118</v>
      </c>
      <c r="E241" s="399"/>
      <c r="F241" s="399"/>
      <c r="G241" s="10">
        <f t="shared" ref="G241:H242" si="33">G242</f>
        <v>3950</v>
      </c>
      <c r="H241" s="10">
        <f t="shared" si="33"/>
        <v>3915.86</v>
      </c>
      <c r="I241" s="389">
        <f t="shared" si="29"/>
        <v>99.135696202531648</v>
      </c>
    </row>
    <row r="242" spans="1:9" ht="33.75" customHeight="1" x14ac:dyDescent="0.25">
      <c r="A242" s="29" t="s">
        <v>272</v>
      </c>
      <c r="B242" s="392" t="s">
        <v>1236</v>
      </c>
      <c r="C242" s="399" t="s">
        <v>264</v>
      </c>
      <c r="D242" s="399" t="s">
        <v>118</v>
      </c>
      <c r="E242" s="399" t="s">
        <v>273</v>
      </c>
      <c r="F242" s="399"/>
      <c r="G242" s="10">
        <f t="shared" si="33"/>
        <v>3950</v>
      </c>
      <c r="H242" s="10">
        <f t="shared" si="33"/>
        <v>3915.86</v>
      </c>
      <c r="I242" s="389">
        <f t="shared" si="29"/>
        <v>99.135696202531648</v>
      </c>
    </row>
    <row r="243" spans="1:9" ht="15.75" x14ac:dyDescent="0.25">
      <c r="A243" s="29" t="s">
        <v>274</v>
      </c>
      <c r="B243" s="392" t="s">
        <v>1236</v>
      </c>
      <c r="C243" s="399" t="s">
        <v>264</v>
      </c>
      <c r="D243" s="399" t="s">
        <v>118</v>
      </c>
      <c r="E243" s="399" t="s">
        <v>275</v>
      </c>
      <c r="F243" s="399"/>
      <c r="G243" s="389">
        <f>'Пр.4 ведом.21'!G658</f>
        <v>3950</v>
      </c>
      <c r="H243" s="389">
        <f>'Пр.4 ведом.21'!H658</f>
        <v>3915.86</v>
      </c>
      <c r="I243" s="389">
        <f t="shared" si="29"/>
        <v>99.135696202531648</v>
      </c>
    </row>
    <row r="244" spans="1:9" s="191" customFormat="1" ht="31.5" x14ac:dyDescent="0.25">
      <c r="A244" s="29" t="s">
        <v>403</v>
      </c>
      <c r="B244" s="392" t="s">
        <v>1236</v>
      </c>
      <c r="C244" s="399" t="s">
        <v>264</v>
      </c>
      <c r="D244" s="399" t="s">
        <v>118</v>
      </c>
      <c r="E244" s="399" t="s">
        <v>275</v>
      </c>
      <c r="F244" s="399" t="s">
        <v>636</v>
      </c>
      <c r="G244" s="10">
        <f>G243</f>
        <v>3950</v>
      </c>
      <c r="H244" s="10">
        <f>H243</f>
        <v>3915.86</v>
      </c>
      <c r="I244" s="389">
        <f t="shared" si="29"/>
        <v>99.135696202531648</v>
      </c>
    </row>
    <row r="245" spans="1:9" s="191" customFormat="1" ht="15.75" x14ac:dyDescent="0.25">
      <c r="A245" s="29" t="s">
        <v>263</v>
      </c>
      <c r="B245" s="399" t="s">
        <v>1235</v>
      </c>
      <c r="C245" s="399" t="s">
        <v>264</v>
      </c>
      <c r="D245" s="399"/>
      <c r="E245" s="399"/>
      <c r="F245" s="399"/>
      <c r="G245" s="10">
        <f t="shared" ref="G245:H245" si="34">G246</f>
        <v>927.2</v>
      </c>
      <c r="H245" s="10">
        <f t="shared" si="34"/>
        <v>822.48200000000008</v>
      </c>
      <c r="I245" s="389">
        <f t="shared" si="29"/>
        <v>88.705996548748928</v>
      </c>
    </row>
    <row r="246" spans="1:9" s="191" customFormat="1" ht="15.75" x14ac:dyDescent="0.25">
      <c r="A246" s="29" t="s">
        <v>425</v>
      </c>
      <c r="B246" s="399" t="s">
        <v>1235</v>
      </c>
      <c r="C246" s="399" t="s">
        <v>264</v>
      </c>
      <c r="D246" s="399" t="s">
        <v>213</v>
      </c>
      <c r="E246" s="399"/>
      <c r="F246" s="399"/>
      <c r="G246" s="10">
        <f>G247+G251+G255+G259</f>
        <v>927.2</v>
      </c>
      <c r="H246" s="10">
        <f>H247+H251+H255+H259</f>
        <v>822.48200000000008</v>
      </c>
      <c r="I246" s="389">
        <f t="shared" si="29"/>
        <v>88.705996548748928</v>
      </c>
    </row>
    <row r="247" spans="1:9" s="191" customFormat="1" ht="47.25" hidden="1" x14ac:dyDescent="0.25">
      <c r="A247" s="396" t="s">
        <v>789</v>
      </c>
      <c r="B247" s="392" t="s">
        <v>1315</v>
      </c>
      <c r="C247" s="399" t="s">
        <v>264</v>
      </c>
      <c r="D247" s="399" t="s">
        <v>213</v>
      </c>
      <c r="E247" s="399"/>
      <c r="F247" s="399"/>
      <c r="G247" s="389">
        <f>G248</f>
        <v>0</v>
      </c>
      <c r="H247" s="389">
        <f>H248</f>
        <v>0</v>
      </c>
      <c r="I247" s="389" t="e">
        <f t="shared" si="29"/>
        <v>#DIV/0!</v>
      </c>
    </row>
    <row r="248" spans="1:9" s="191" customFormat="1" ht="31.5" hidden="1" x14ac:dyDescent="0.25">
      <c r="A248" s="396" t="s">
        <v>272</v>
      </c>
      <c r="B248" s="392" t="s">
        <v>1315</v>
      </c>
      <c r="C248" s="399" t="s">
        <v>264</v>
      </c>
      <c r="D248" s="399" t="s">
        <v>213</v>
      </c>
      <c r="E248" s="399" t="s">
        <v>273</v>
      </c>
      <c r="F248" s="399"/>
      <c r="G248" s="389">
        <f>G249</f>
        <v>0</v>
      </c>
      <c r="H248" s="389">
        <f>H249</f>
        <v>0</v>
      </c>
      <c r="I248" s="389" t="e">
        <f t="shared" si="29"/>
        <v>#DIV/0!</v>
      </c>
    </row>
    <row r="249" spans="1:9" s="191" customFormat="1" ht="15.75" hidden="1" x14ac:dyDescent="0.25">
      <c r="A249" s="396" t="s">
        <v>274</v>
      </c>
      <c r="B249" s="392" t="s">
        <v>1315</v>
      </c>
      <c r="C249" s="399" t="s">
        <v>264</v>
      </c>
      <c r="D249" s="399" t="s">
        <v>213</v>
      </c>
      <c r="E249" s="399" t="s">
        <v>275</v>
      </c>
      <c r="F249" s="399"/>
      <c r="G249" s="389">
        <f>'Пр.4 ведом.21'!G726</f>
        <v>0</v>
      </c>
      <c r="H249" s="389">
        <f>'Пр.4 ведом.21'!H726</f>
        <v>0</v>
      </c>
      <c r="I249" s="389" t="e">
        <f t="shared" si="29"/>
        <v>#DIV/0!</v>
      </c>
    </row>
    <row r="250" spans="1:9" s="191" customFormat="1" ht="31.5" hidden="1" x14ac:dyDescent="0.25">
      <c r="A250" s="29" t="s">
        <v>403</v>
      </c>
      <c r="B250" s="392" t="s">
        <v>1315</v>
      </c>
      <c r="C250" s="399" t="s">
        <v>264</v>
      </c>
      <c r="D250" s="399" t="s">
        <v>213</v>
      </c>
      <c r="E250" s="399" t="s">
        <v>275</v>
      </c>
      <c r="F250" s="399" t="s">
        <v>636</v>
      </c>
      <c r="G250" s="10">
        <f>G249</f>
        <v>0</v>
      </c>
      <c r="H250" s="10">
        <f>H249</f>
        <v>0</v>
      </c>
      <c r="I250" s="389" t="e">
        <f t="shared" si="29"/>
        <v>#DIV/0!</v>
      </c>
    </row>
    <row r="251" spans="1:9" s="191" customFormat="1" ht="31.5" x14ac:dyDescent="0.25">
      <c r="A251" s="396" t="s">
        <v>278</v>
      </c>
      <c r="B251" s="392" t="s">
        <v>1316</v>
      </c>
      <c r="C251" s="399" t="s">
        <v>264</v>
      </c>
      <c r="D251" s="399" t="s">
        <v>213</v>
      </c>
      <c r="E251" s="399"/>
      <c r="F251" s="399"/>
      <c r="G251" s="389">
        <f t="shared" ref="G251:H252" si="35">G252</f>
        <v>300</v>
      </c>
      <c r="H251" s="389">
        <f t="shared" si="35"/>
        <v>300</v>
      </c>
      <c r="I251" s="389">
        <f t="shared" si="29"/>
        <v>100</v>
      </c>
    </row>
    <row r="252" spans="1:9" s="191" customFormat="1" ht="31.5" x14ac:dyDescent="0.25">
      <c r="A252" s="396" t="s">
        <v>272</v>
      </c>
      <c r="B252" s="392" t="s">
        <v>1316</v>
      </c>
      <c r="C252" s="399" t="s">
        <v>264</v>
      </c>
      <c r="D252" s="399" t="s">
        <v>213</v>
      </c>
      <c r="E252" s="399" t="s">
        <v>273</v>
      </c>
      <c r="F252" s="399"/>
      <c r="G252" s="389">
        <f t="shared" si="35"/>
        <v>300</v>
      </c>
      <c r="H252" s="389">
        <f t="shared" si="35"/>
        <v>300</v>
      </c>
      <c r="I252" s="389">
        <f t="shared" si="29"/>
        <v>100</v>
      </c>
    </row>
    <row r="253" spans="1:9" s="191" customFormat="1" ht="15.75" x14ac:dyDescent="0.25">
      <c r="A253" s="396" t="s">
        <v>274</v>
      </c>
      <c r="B253" s="392" t="s">
        <v>1316</v>
      </c>
      <c r="C253" s="399" t="s">
        <v>264</v>
      </c>
      <c r="D253" s="399" t="s">
        <v>213</v>
      </c>
      <c r="E253" s="399" t="s">
        <v>275</v>
      </c>
      <c r="F253" s="399"/>
      <c r="G253" s="389">
        <f>'Пр.4 ведом.21'!G729</f>
        <v>300</v>
      </c>
      <c r="H253" s="389">
        <f>'Пр.4 ведом.21'!H729</f>
        <v>300</v>
      </c>
      <c r="I253" s="389">
        <f t="shared" si="29"/>
        <v>100</v>
      </c>
    </row>
    <row r="254" spans="1:9" s="191" customFormat="1" ht="31.5" x14ac:dyDescent="0.25">
      <c r="A254" s="29" t="s">
        <v>403</v>
      </c>
      <c r="B254" s="392" t="s">
        <v>1316</v>
      </c>
      <c r="C254" s="399" t="s">
        <v>264</v>
      </c>
      <c r="D254" s="399" t="s">
        <v>213</v>
      </c>
      <c r="E254" s="399" t="s">
        <v>275</v>
      </c>
      <c r="F254" s="399" t="s">
        <v>636</v>
      </c>
      <c r="G254" s="10">
        <f>G253</f>
        <v>300</v>
      </c>
      <c r="H254" s="10">
        <f>H253</f>
        <v>300</v>
      </c>
      <c r="I254" s="389">
        <f t="shared" si="29"/>
        <v>100</v>
      </c>
    </row>
    <row r="255" spans="1:9" s="191" customFormat="1" ht="31.5" x14ac:dyDescent="0.25">
      <c r="A255" s="396" t="s">
        <v>280</v>
      </c>
      <c r="B255" s="392" t="s">
        <v>1317</v>
      </c>
      <c r="C255" s="399" t="s">
        <v>264</v>
      </c>
      <c r="D255" s="399" t="s">
        <v>213</v>
      </c>
      <c r="E255" s="399"/>
      <c r="F255" s="399"/>
      <c r="G255" s="389">
        <f t="shared" ref="G255:H256" si="36">G256</f>
        <v>394.4</v>
      </c>
      <c r="H255" s="389">
        <f t="shared" si="36"/>
        <v>394.38200000000001</v>
      </c>
      <c r="I255" s="389">
        <f t="shared" si="29"/>
        <v>99.995436105476671</v>
      </c>
    </row>
    <row r="256" spans="1:9" s="191" customFormat="1" ht="31.5" x14ac:dyDescent="0.25">
      <c r="A256" s="396" t="s">
        <v>272</v>
      </c>
      <c r="B256" s="392" t="s">
        <v>1317</v>
      </c>
      <c r="C256" s="399" t="s">
        <v>264</v>
      </c>
      <c r="D256" s="399" t="s">
        <v>213</v>
      </c>
      <c r="E256" s="399" t="s">
        <v>273</v>
      </c>
      <c r="F256" s="399"/>
      <c r="G256" s="389">
        <f t="shared" si="36"/>
        <v>394.4</v>
      </c>
      <c r="H256" s="389">
        <f t="shared" si="36"/>
        <v>394.38200000000001</v>
      </c>
      <c r="I256" s="389">
        <f t="shared" si="29"/>
        <v>99.995436105476671</v>
      </c>
    </row>
    <row r="257" spans="1:9" s="191" customFormat="1" ht="15.75" x14ac:dyDescent="0.25">
      <c r="A257" s="396" t="s">
        <v>274</v>
      </c>
      <c r="B257" s="392" t="s">
        <v>1317</v>
      </c>
      <c r="C257" s="399" t="s">
        <v>264</v>
      </c>
      <c r="D257" s="399" t="s">
        <v>213</v>
      </c>
      <c r="E257" s="399" t="s">
        <v>275</v>
      </c>
      <c r="F257" s="399"/>
      <c r="G257" s="389">
        <f>'Пр.4 ведом.21'!G732</f>
        <v>394.4</v>
      </c>
      <c r="H257" s="389">
        <f>'Пр.4 ведом.21'!H732</f>
        <v>394.38200000000001</v>
      </c>
      <c r="I257" s="389">
        <f t="shared" si="29"/>
        <v>99.995436105476671</v>
      </c>
    </row>
    <row r="258" spans="1:9" s="191" customFormat="1" ht="31.5" x14ac:dyDescent="0.25">
      <c r="A258" s="29" t="s">
        <v>403</v>
      </c>
      <c r="B258" s="392" t="s">
        <v>1317</v>
      </c>
      <c r="C258" s="399" t="s">
        <v>264</v>
      </c>
      <c r="D258" s="399" t="s">
        <v>213</v>
      </c>
      <c r="E258" s="399" t="s">
        <v>275</v>
      </c>
      <c r="F258" s="399" t="s">
        <v>636</v>
      </c>
      <c r="G258" s="10">
        <f>G257</f>
        <v>394.4</v>
      </c>
      <c r="H258" s="10">
        <f>H257</f>
        <v>394.38200000000001</v>
      </c>
      <c r="I258" s="389">
        <f t="shared" si="29"/>
        <v>99.995436105476671</v>
      </c>
    </row>
    <row r="259" spans="1:9" s="191" customFormat="1" ht="31.5" x14ac:dyDescent="0.25">
      <c r="A259" s="29" t="s">
        <v>282</v>
      </c>
      <c r="B259" s="392" t="s">
        <v>1251</v>
      </c>
      <c r="C259" s="399" t="s">
        <v>264</v>
      </c>
      <c r="D259" s="399" t="s">
        <v>213</v>
      </c>
      <c r="E259" s="399"/>
      <c r="F259" s="399"/>
      <c r="G259" s="10">
        <f t="shared" ref="G259:H260" si="37">G260</f>
        <v>232.8</v>
      </c>
      <c r="H259" s="10">
        <f t="shared" si="37"/>
        <v>128.1</v>
      </c>
      <c r="I259" s="389">
        <f t="shared" si="29"/>
        <v>55.025773195876283</v>
      </c>
    </row>
    <row r="260" spans="1:9" s="191" customFormat="1" ht="31.5" x14ac:dyDescent="0.25">
      <c r="A260" s="29" t="s">
        <v>272</v>
      </c>
      <c r="B260" s="392" t="s">
        <v>1251</v>
      </c>
      <c r="C260" s="399" t="s">
        <v>264</v>
      </c>
      <c r="D260" s="399" t="s">
        <v>213</v>
      </c>
      <c r="E260" s="399" t="s">
        <v>273</v>
      </c>
      <c r="F260" s="399"/>
      <c r="G260" s="10">
        <f t="shared" si="37"/>
        <v>232.8</v>
      </c>
      <c r="H260" s="10">
        <f t="shared" si="37"/>
        <v>128.1</v>
      </c>
      <c r="I260" s="389">
        <f t="shared" si="29"/>
        <v>55.025773195876283</v>
      </c>
    </row>
    <row r="261" spans="1:9" s="191" customFormat="1" ht="15.75" x14ac:dyDescent="0.25">
      <c r="A261" s="29" t="s">
        <v>274</v>
      </c>
      <c r="B261" s="392" t="s">
        <v>1251</v>
      </c>
      <c r="C261" s="399" t="s">
        <v>264</v>
      </c>
      <c r="D261" s="399" t="s">
        <v>213</v>
      </c>
      <c r="E261" s="399" t="s">
        <v>275</v>
      </c>
      <c r="F261" s="399"/>
      <c r="G261" s="10">
        <f>'Пр.4 ведом.21'!G735</f>
        <v>232.8</v>
      </c>
      <c r="H261" s="10">
        <f>'Пр.4 ведом.21'!H735</f>
        <v>128.1</v>
      </c>
      <c r="I261" s="389">
        <f t="shared" si="29"/>
        <v>55.025773195876283</v>
      </c>
    </row>
    <row r="262" spans="1:9" s="191" customFormat="1" ht="31.5" x14ac:dyDescent="0.25">
      <c r="A262" s="29" t="s">
        <v>403</v>
      </c>
      <c r="B262" s="392" t="s">
        <v>1251</v>
      </c>
      <c r="C262" s="399" t="s">
        <v>264</v>
      </c>
      <c r="D262" s="399" t="s">
        <v>213</v>
      </c>
      <c r="E262" s="399" t="s">
        <v>275</v>
      </c>
      <c r="F262" s="399" t="s">
        <v>636</v>
      </c>
      <c r="G262" s="10">
        <f>G261</f>
        <v>232.8</v>
      </c>
      <c r="H262" s="10">
        <f>H261</f>
        <v>128.1</v>
      </c>
      <c r="I262" s="389">
        <f t="shared" si="29"/>
        <v>55.025773195876283</v>
      </c>
    </row>
    <row r="263" spans="1:9" s="191" customFormat="1" ht="31.5" x14ac:dyDescent="0.25">
      <c r="A263" s="394" t="s">
        <v>942</v>
      </c>
      <c r="B263" s="395" t="s">
        <v>1237</v>
      </c>
      <c r="C263" s="7"/>
      <c r="D263" s="7"/>
      <c r="E263" s="7"/>
      <c r="F263" s="7"/>
      <c r="G263" s="59">
        <f>G264</f>
        <v>6043.9000000000005</v>
      </c>
      <c r="H263" s="59">
        <f>H264</f>
        <v>5434.3469999999998</v>
      </c>
      <c r="I263" s="492">
        <f t="shared" si="29"/>
        <v>89.914575026059325</v>
      </c>
    </row>
    <row r="264" spans="1:9" s="191" customFormat="1" ht="15.75" x14ac:dyDescent="0.25">
      <c r="A264" s="29" t="s">
        <v>263</v>
      </c>
      <c r="B264" s="392" t="s">
        <v>1237</v>
      </c>
      <c r="C264" s="399" t="s">
        <v>264</v>
      </c>
      <c r="D264" s="399"/>
      <c r="E264" s="399"/>
      <c r="F264" s="399"/>
      <c r="G264" s="10">
        <f t="shared" ref="G264:H267" si="38">G265</f>
        <v>6043.9000000000005</v>
      </c>
      <c r="H264" s="10">
        <f t="shared" si="38"/>
        <v>5434.3469999999998</v>
      </c>
      <c r="I264" s="389">
        <f t="shared" si="29"/>
        <v>89.914575026059325</v>
      </c>
    </row>
    <row r="265" spans="1:9" s="191" customFormat="1" ht="15.75" x14ac:dyDescent="0.25">
      <c r="A265" s="29" t="s">
        <v>466</v>
      </c>
      <c r="B265" s="392" t="s">
        <v>1237</v>
      </c>
      <c r="C265" s="399" t="s">
        <v>264</v>
      </c>
      <c r="D265" s="399" t="s">
        <v>264</v>
      </c>
      <c r="E265" s="399"/>
      <c r="F265" s="399"/>
      <c r="G265" s="10">
        <f>G266</f>
        <v>6043.9000000000005</v>
      </c>
      <c r="H265" s="10">
        <f>H266</f>
        <v>5434.3469999999998</v>
      </c>
      <c r="I265" s="389">
        <f t="shared" si="29"/>
        <v>89.914575026059325</v>
      </c>
    </row>
    <row r="266" spans="1:9" s="191" customFormat="1" ht="31.5" x14ac:dyDescent="0.25">
      <c r="A266" s="31" t="s">
        <v>1060</v>
      </c>
      <c r="B266" s="392" t="s">
        <v>1259</v>
      </c>
      <c r="C266" s="399" t="s">
        <v>264</v>
      </c>
      <c r="D266" s="399" t="s">
        <v>264</v>
      </c>
      <c r="E266" s="399"/>
      <c r="F266" s="399"/>
      <c r="G266" s="10">
        <f t="shared" si="38"/>
        <v>6043.9000000000005</v>
      </c>
      <c r="H266" s="10">
        <f t="shared" si="38"/>
        <v>5434.3469999999998</v>
      </c>
      <c r="I266" s="389">
        <f t="shared" si="29"/>
        <v>89.914575026059325</v>
      </c>
    </row>
    <row r="267" spans="1:9" s="191" customFormat="1" ht="31.5" x14ac:dyDescent="0.25">
      <c r="A267" s="396" t="s">
        <v>272</v>
      </c>
      <c r="B267" s="392" t="s">
        <v>1259</v>
      </c>
      <c r="C267" s="399" t="s">
        <v>264</v>
      </c>
      <c r="D267" s="399" t="s">
        <v>264</v>
      </c>
      <c r="E267" s="399" t="s">
        <v>273</v>
      </c>
      <c r="F267" s="399"/>
      <c r="G267" s="10">
        <f t="shared" si="38"/>
        <v>6043.9000000000005</v>
      </c>
      <c r="H267" s="10">
        <f t="shared" si="38"/>
        <v>5434.3469999999998</v>
      </c>
      <c r="I267" s="389">
        <f t="shared" si="29"/>
        <v>89.914575026059325</v>
      </c>
    </row>
    <row r="268" spans="1:9" s="191" customFormat="1" ht="15.75" x14ac:dyDescent="0.25">
      <c r="A268" s="396" t="s">
        <v>274</v>
      </c>
      <c r="B268" s="392" t="s">
        <v>1259</v>
      </c>
      <c r="C268" s="399" t="s">
        <v>264</v>
      </c>
      <c r="D268" s="399" t="s">
        <v>264</v>
      </c>
      <c r="E268" s="399" t="s">
        <v>275</v>
      </c>
      <c r="F268" s="399"/>
      <c r="G268" s="10">
        <f>'Пр.4 ведом.21'!G833</f>
        <v>6043.9000000000005</v>
      </c>
      <c r="H268" s="10">
        <f>'Пр.4 ведом.21'!H833</f>
        <v>5434.3469999999998</v>
      </c>
      <c r="I268" s="389">
        <f t="shared" si="29"/>
        <v>89.914575026059325</v>
      </c>
    </row>
    <row r="269" spans="1:9" s="191" customFormat="1" ht="31.5" x14ac:dyDescent="0.25">
      <c r="A269" s="29" t="s">
        <v>403</v>
      </c>
      <c r="B269" s="392" t="s">
        <v>1259</v>
      </c>
      <c r="C269" s="399" t="s">
        <v>264</v>
      </c>
      <c r="D269" s="399" t="s">
        <v>264</v>
      </c>
      <c r="E269" s="399" t="s">
        <v>275</v>
      </c>
      <c r="F269" s="399" t="s">
        <v>636</v>
      </c>
      <c r="G269" s="10">
        <f>G268</f>
        <v>6043.9000000000005</v>
      </c>
      <c r="H269" s="10">
        <f>H268</f>
        <v>5434.3469999999998</v>
      </c>
      <c r="I269" s="389">
        <f t="shared" si="29"/>
        <v>89.914575026059325</v>
      </c>
    </row>
    <row r="270" spans="1:9" s="191" customFormat="1" ht="31.5" x14ac:dyDescent="0.25">
      <c r="A270" s="203" t="s">
        <v>947</v>
      </c>
      <c r="B270" s="395" t="s">
        <v>1238</v>
      </c>
      <c r="C270" s="7"/>
      <c r="D270" s="7"/>
      <c r="E270" s="7"/>
      <c r="F270" s="7"/>
      <c r="G270" s="388">
        <f>G271</f>
        <v>7363.58</v>
      </c>
      <c r="H270" s="388">
        <f>H271</f>
        <v>7221.1670000000013</v>
      </c>
      <c r="I270" s="492">
        <f t="shared" si="29"/>
        <v>98.065981492697858</v>
      </c>
    </row>
    <row r="271" spans="1:9" s="191" customFormat="1" ht="15.75" x14ac:dyDescent="0.25">
      <c r="A271" s="29" t="s">
        <v>263</v>
      </c>
      <c r="B271" s="392" t="s">
        <v>1238</v>
      </c>
      <c r="C271" s="399" t="s">
        <v>264</v>
      </c>
      <c r="D271" s="399"/>
      <c r="E271" s="399"/>
      <c r="F271" s="399"/>
      <c r="G271" s="10">
        <f>G272+G285+G294</f>
        <v>7363.58</v>
      </c>
      <c r="H271" s="10">
        <f>H272+H285+H294</f>
        <v>7221.1670000000013</v>
      </c>
      <c r="I271" s="389">
        <f t="shared" si="29"/>
        <v>98.065981492697858</v>
      </c>
    </row>
    <row r="272" spans="1:9" s="191" customFormat="1" ht="15.75" x14ac:dyDescent="0.25">
      <c r="A272" s="45" t="s">
        <v>404</v>
      </c>
      <c r="B272" s="392" t="s">
        <v>1238</v>
      </c>
      <c r="C272" s="399" t="s">
        <v>264</v>
      </c>
      <c r="D272" s="399" t="s">
        <v>118</v>
      </c>
      <c r="E272" s="399"/>
      <c r="F272" s="399"/>
      <c r="G272" s="10">
        <f>G273+G277+G281</f>
        <v>3181.4</v>
      </c>
      <c r="H272" s="10">
        <f>H273+H277+H281</f>
        <v>3121.4850000000001</v>
      </c>
      <c r="I272" s="389">
        <f t="shared" si="29"/>
        <v>98.116709624693527</v>
      </c>
    </row>
    <row r="273" spans="1:9" ht="31.7" hidden="1" customHeight="1" x14ac:dyDescent="0.25">
      <c r="A273" s="29" t="s">
        <v>284</v>
      </c>
      <c r="B273" s="392" t="s">
        <v>1256</v>
      </c>
      <c r="C273" s="399" t="s">
        <v>264</v>
      </c>
      <c r="D273" s="399" t="s">
        <v>118</v>
      </c>
      <c r="E273" s="399"/>
      <c r="F273" s="399"/>
      <c r="G273" s="10">
        <f t="shared" ref="G273:H274" si="39">G274</f>
        <v>0</v>
      </c>
      <c r="H273" s="10">
        <f t="shared" si="39"/>
        <v>0</v>
      </c>
      <c r="I273" s="389" t="e">
        <f t="shared" ref="I273:I336" si="40">H273/G273*100</f>
        <v>#DIV/0!</v>
      </c>
    </row>
    <row r="274" spans="1:9" ht="31.7" hidden="1" customHeight="1" x14ac:dyDescent="0.25">
      <c r="A274" s="29" t="s">
        <v>272</v>
      </c>
      <c r="B274" s="392" t="s">
        <v>1256</v>
      </c>
      <c r="C274" s="399" t="s">
        <v>264</v>
      </c>
      <c r="D274" s="399" t="s">
        <v>118</v>
      </c>
      <c r="E274" s="399" t="s">
        <v>273</v>
      </c>
      <c r="F274" s="399"/>
      <c r="G274" s="10">
        <f t="shared" si="39"/>
        <v>0</v>
      </c>
      <c r="H274" s="10">
        <f t="shared" si="39"/>
        <v>0</v>
      </c>
      <c r="I274" s="389" t="e">
        <f t="shared" si="40"/>
        <v>#DIV/0!</v>
      </c>
    </row>
    <row r="275" spans="1:9" ht="15.75" hidden="1" customHeight="1" x14ac:dyDescent="0.25">
      <c r="A275" s="29" t="s">
        <v>274</v>
      </c>
      <c r="B275" s="392" t="s">
        <v>1256</v>
      </c>
      <c r="C275" s="399" t="s">
        <v>264</v>
      </c>
      <c r="D275" s="399" t="s">
        <v>118</v>
      </c>
      <c r="E275" s="399" t="s">
        <v>275</v>
      </c>
      <c r="F275" s="399"/>
      <c r="G275" s="10">
        <f>'Пр.4 ведом.21'!G662</f>
        <v>0</v>
      </c>
      <c r="H275" s="10">
        <f>'Пр.4 ведом.21'!H662</f>
        <v>0</v>
      </c>
      <c r="I275" s="389" t="e">
        <f t="shared" si="40"/>
        <v>#DIV/0!</v>
      </c>
    </row>
    <row r="276" spans="1:9" s="191" customFormat="1" ht="30.6" hidden="1" customHeight="1" x14ac:dyDescent="0.25">
      <c r="A276" s="29" t="s">
        <v>403</v>
      </c>
      <c r="B276" s="392" t="s">
        <v>1256</v>
      </c>
      <c r="C276" s="399" t="s">
        <v>264</v>
      </c>
      <c r="D276" s="399" t="s">
        <v>118</v>
      </c>
      <c r="E276" s="399" t="s">
        <v>275</v>
      </c>
      <c r="F276" s="399" t="s">
        <v>636</v>
      </c>
      <c r="G276" s="10">
        <f>G275</f>
        <v>0</v>
      </c>
      <c r="H276" s="10">
        <f>H275</f>
        <v>0</v>
      </c>
      <c r="I276" s="389" t="e">
        <f t="shared" si="40"/>
        <v>#DIV/0!</v>
      </c>
    </row>
    <row r="277" spans="1:9" ht="31.5" x14ac:dyDescent="0.25">
      <c r="A277" s="60" t="s">
        <v>764</v>
      </c>
      <c r="B277" s="392" t="s">
        <v>1239</v>
      </c>
      <c r="C277" s="392" t="s">
        <v>264</v>
      </c>
      <c r="D277" s="392" t="s">
        <v>118</v>
      </c>
      <c r="E277" s="392"/>
      <c r="F277" s="392"/>
      <c r="G277" s="10">
        <f t="shared" ref="G277:H278" si="41">G278</f>
        <v>2245.4</v>
      </c>
      <c r="H277" s="10">
        <f t="shared" si="41"/>
        <v>2217.7280000000001</v>
      </c>
      <c r="I277" s="389">
        <f t="shared" si="40"/>
        <v>98.767613788189195</v>
      </c>
    </row>
    <row r="278" spans="1:9" ht="31.5" x14ac:dyDescent="0.25">
      <c r="A278" s="29" t="s">
        <v>272</v>
      </c>
      <c r="B278" s="392" t="s">
        <v>1239</v>
      </c>
      <c r="C278" s="392" t="s">
        <v>264</v>
      </c>
      <c r="D278" s="392" t="s">
        <v>118</v>
      </c>
      <c r="E278" s="392" t="s">
        <v>273</v>
      </c>
      <c r="F278" s="392"/>
      <c r="G278" s="10">
        <f t="shared" si="41"/>
        <v>2245.4</v>
      </c>
      <c r="H278" s="10">
        <f t="shared" si="41"/>
        <v>2217.7280000000001</v>
      </c>
      <c r="I278" s="389">
        <f t="shared" si="40"/>
        <v>98.767613788189195</v>
      </c>
    </row>
    <row r="279" spans="1:9" ht="15.75" x14ac:dyDescent="0.25">
      <c r="A279" s="180" t="s">
        <v>274</v>
      </c>
      <c r="B279" s="392" t="s">
        <v>1239</v>
      </c>
      <c r="C279" s="392" t="s">
        <v>264</v>
      </c>
      <c r="D279" s="392" t="s">
        <v>118</v>
      </c>
      <c r="E279" s="392" t="s">
        <v>275</v>
      </c>
      <c r="F279" s="392"/>
      <c r="G279" s="10">
        <f>'Пр.4 ведом.21'!G665</f>
        <v>2245.4</v>
      </c>
      <c r="H279" s="10">
        <f>'Пр.4 ведом.21'!H665</f>
        <v>2217.7280000000001</v>
      </c>
      <c r="I279" s="389">
        <f t="shared" si="40"/>
        <v>98.767613788189195</v>
      </c>
    </row>
    <row r="280" spans="1:9" s="191" customFormat="1" ht="31.5" x14ac:dyDescent="0.25">
      <c r="A280" s="29" t="s">
        <v>403</v>
      </c>
      <c r="B280" s="392" t="s">
        <v>1239</v>
      </c>
      <c r="C280" s="399" t="s">
        <v>264</v>
      </c>
      <c r="D280" s="399" t="s">
        <v>118</v>
      </c>
      <c r="E280" s="399" t="s">
        <v>275</v>
      </c>
      <c r="F280" s="399" t="s">
        <v>636</v>
      </c>
      <c r="G280" s="10">
        <f>G279</f>
        <v>2245.4</v>
      </c>
      <c r="H280" s="10">
        <f>H279</f>
        <v>2217.7280000000001</v>
      </c>
      <c r="I280" s="389">
        <f t="shared" si="40"/>
        <v>98.767613788189195</v>
      </c>
    </row>
    <row r="281" spans="1:9" ht="47.25" x14ac:dyDescent="0.25">
      <c r="A281" s="60" t="s">
        <v>765</v>
      </c>
      <c r="B281" s="392" t="s">
        <v>1240</v>
      </c>
      <c r="C281" s="392" t="s">
        <v>264</v>
      </c>
      <c r="D281" s="392" t="s">
        <v>118</v>
      </c>
      <c r="E281" s="392"/>
      <c r="F281" s="392"/>
      <c r="G281" s="10">
        <f t="shared" ref="G281:H282" si="42">G282</f>
        <v>936</v>
      </c>
      <c r="H281" s="10">
        <f t="shared" si="42"/>
        <v>903.75699999999995</v>
      </c>
      <c r="I281" s="389">
        <f t="shared" si="40"/>
        <v>96.555235042735035</v>
      </c>
    </row>
    <row r="282" spans="1:9" ht="31.5" x14ac:dyDescent="0.25">
      <c r="A282" s="29" t="s">
        <v>272</v>
      </c>
      <c r="B282" s="392" t="s">
        <v>1240</v>
      </c>
      <c r="C282" s="392" t="s">
        <v>264</v>
      </c>
      <c r="D282" s="392" t="s">
        <v>118</v>
      </c>
      <c r="E282" s="392" t="s">
        <v>273</v>
      </c>
      <c r="F282" s="392"/>
      <c r="G282" s="10">
        <f t="shared" si="42"/>
        <v>936</v>
      </c>
      <c r="H282" s="10">
        <f t="shared" si="42"/>
        <v>903.75699999999995</v>
      </c>
      <c r="I282" s="389">
        <f t="shared" si="40"/>
        <v>96.555235042735035</v>
      </c>
    </row>
    <row r="283" spans="1:9" ht="15.75" x14ac:dyDescent="0.25">
      <c r="A283" s="180" t="s">
        <v>274</v>
      </c>
      <c r="B283" s="392" t="s">
        <v>1240</v>
      </c>
      <c r="C283" s="392" t="s">
        <v>264</v>
      </c>
      <c r="D283" s="392" t="s">
        <v>118</v>
      </c>
      <c r="E283" s="392" t="s">
        <v>275</v>
      </c>
      <c r="F283" s="392"/>
      <c r="G283" s="10">
        <f>'Пр.4 ведом.21'!G668</f>
        <v>936</v>
      </c>
      <c r="H283" s="10">
        <f>'Пр.4 ведом.21'!H668</f>
        <v>903.75699999999995</v>
      </c>
      <c r="I283" s="389">
        <f t="shared" si="40"/>
        <v>96.555235042735035</v>
      </c>
    </row>
    <row r="284" spans="1:9" s="191" customFormat="1" ht="31.5" x14ac:dyDescent="0.25">
      <c r="A284" s="29" t="s">
        <v>403</v>
      </c>
      <c r="B284" s="392" t="s">
        <v>1240</v>
      </c>
      <c r="C284" s="399" t="s">
        <v>264</v>
      </c>
      <c r="D284" s="399" t="s">
        <v>118</v>
      </c>
      <c r="E284" s="399" t="s">
        <v>275</v>
      </c>
      <c r="F284" s="399" t="s">
        <v>636</v>
      </c>
      <c r="G284" s="10">
        <f>G283</f>
        <v>936</v>
      </c>
      <c r="H284" s="10">
        <f>H283</f>
        <v>903.75699999999995</v>
      </c>
      <c r="I284" s="389">
        <f t="shared" si="40"/>
        <v>96.555235042735035</v>
      </c>
    </row>
    <row r="285" spans="1:9" s="191" customFormat="1" ht="15.75" x14ac:dyDescent="0.25">
      <c r="A285" s="29" t="s">
        <v>425</v>
      </c>
      <c r="B285" s="399" t="s">
        <v>1238</v>
      </c>
      <c r="C285" s="399" t="s">
        <v>264</v>
      </c>
      <c r="D285" s="399" t="s">
        <v>213</v>
      </c>
      <c r="E285" s="399"/>
      <c r="F285" s="399"/>
      <c r="G285" s="10">
        <f>G286+G290</f>
        <v>3082.18</v>
      </c>
      <c r="H285" s="10">
        <f>H286+H290</f>
        <v>3023.3580000000002</v>
      </c>
      <c r="I285" s="389">
        <f t="shared" si="40"/>
        <v>98.091545594352056</v>
      </c>
    </row>
    <row r="286" spans="1:9" s="191" customFormat="1" ht="31.5" x14ac:dyDescent="0.25">
      <c r="A286" s="29" t="s">
        <v>284</v>
      </c>
      <c r="B286" s="392" t="s">
        <v>1256</v>
      </c>
      <c r="C286" s="399" t="s">
        <v>264</v>
      </c>
      <c r="D286" s="399" t="s">
        <v>213</v>
      </c>
      <c r="E286" s="399"/>
      <c r="F286" s="399"/>
      <c r="G286" s="10">
        <f t="shared" ref="G286:H287" si="43">G287</f>
        <v>44</v>
      </c>
      <c r="H286" s="10">
        <f t="shared" si="43"/>
        <v>44</v>
      </c>
      <c r="I286" s="389">
        <f t="shared" si="40"/>
        <v>100</v>
      </c>
    </row>
    <row r="287" spans="1:9" s="191" customFormat="1" ht="31.5" x14ac:dyDescent="0.25">
      <c r="A287" s="29" t="s">
        <v>272</v>
      </c>
      <c r="B287" s="392" t="s">
        <v>1256</v>
      </c>
      <c r="C287" s="399" t="s">
        <v>264</v>
      </c>
      <c r="D287" s="399" t="s">
        <v>213</v>
      </c>
      <c r="E287" s="399" t="s">
        <v>273</v>
      </c>
      <c r="F287" s="399"/>
      <c r="G287" s="10">
        <f t="shared" si="43"/>
        <v>44</v>
      </c>
      <c r="H287" s="10">
        <f t="shared" si="43"/>
        <v>44</v>
      </c>
      <c r="I287" s="389">
        <f t="shared" si="40"/>
        <v>100</v>
      </c>
    </row>
    <row r="288" spans="1:9" s="191" customFormat="1" ht="15.75" x14ac:dyDescent="0.25">
      <c r="A288" s="29" t="s">
        <v>274</v>
      </c>
      <c r="B288" s="392" t="s">
        <v>1256</v>
      </c>
      <c r="C288" s="399" t="s">
        <v>264</v>
      </c>
      <c r="D288" s="399" t="s">
        <v>213</v>
      </c>
      <c r="E288" s="399" t="s">
        <v>275</v>
      </c>
      <c r="F288" s="399"/>
      <c r="G288" s="10">
        <f>'Пр.4 ведом.21'!G739</f>
        <v>44</v>
      </c>
      <c r="H288" s="10">
        <f>'Пр.4 ведом.21'!H739</f>
        <v>44</v>
      </c>
      <c r="I288" s="389">
        <f t="shared" si="40"/>
        <v>100</v>
      </c>
    </row>
    <row r="289" spans="1:9" s="191" customFormat="1" ht="31.5" x14ac:dyDescent="0.25">
      <c r="A289" s="29" t="s">
        <v>403</v>
      </c>
      <c r="B289" s="392" t="s">
        <v>1256</v>
      </c>
      <c r="C289" s="399" t="s">
        <v>264</v>
      </c>
      <c r="D289" s="399" t="s">
        <v>213</v>
      </c>
      <c r="E289" s="399" t="s">
        <v>275</v>
      </c>
      <c r="F289" s="399" t="s">
        <v>636</v>
      </c>
      <c r="G289" s="10">
        <f>G288</f>
        <v>44</v>
      </c>
      <c r="H289" s="10">
        <f>H288</f>
        <v>44</v>
      </c>
      <c r="I289" s="389">
        <f t="shared" si="40"/>
        <v>100</v>
      </c>
    </row>
    <row r="290" spans="1:9" s="191" customFormat="1" ht="31.5" x14ac:dyDescent="0.25">
      <c r="A290" s="60" t="s">
        <v>764</v>
      </c>
      <c r="B290" s="392" t="s">
        <v>1239</v>
      </c>
      <c r="C290" s="399" t="s">
        <v>264</v>
      </c>
      <c r="D290" s="399" t="s">
        <v>213</v>
      </c>
      <c r="E290" s="399"/>
      <c r="F290" s="399"/>
      <c r="G290" s="10">
        <f t="shared" ref="G290:H291" si="44">G291</f>
        <v>3038.18</v>
      </c>
      <c r="H290" s="10">
        <f t="shared" si="44"/>
        <v>2979.3580000000002</v>
      </c>
      <c r="I290" s="389">
        <f t="shared" si="40"/>
        <v>98.063906680973489</v>
      </c>
    </row>
    <row r="291" spans="1:9" s="191" customFormat="1" ht="31.5" x14ac:dyDescent="0.25">
      <c r="A291" s="29" t="s">
        <v>272</v>
      </c>
      <c r="B291" s="392" t="s">
        <v>1239</v>
      </c>
      <c r="C291" s="399" t="s">
        <v>264</v>
      </c>
      <c r="D291" s="399" t="s">
        <v>213</v>
      </c>
      <c r="E291" s="399" t="s">
        <v>273</v>
      </c>
      <c r="F291" s="399"/>
      <c r="G291" s="10">
        <f t="shared" si="44"/>
        <v>3038.18</v>
      </c>
      <c r="H291" s="10">
        <f t="shared" si="44"/>
        <v>2979.3580000000002</v>
      </c>
      <c r="I291" s="389">
        <f t="shared" si="40"/>
        <v>98.063906680973489</v>
      </c>
    </row>
    <row r="292" spans="1:9" s="191" customFormat="1" ht="15.75" x14ac:dyDescent="0.25">
      <c r="A292" s="180" t="s">
        <v>274</v>
      </c>
      <c r="B292" s="392" t="s">
        <v>1239</v>
      </c>
      <c r="C292" s="399" t="s">
        <v>264</v>
      </c>
      <c r="D292" s="399" t="s">
        <v>213</v>
      </c>
      <c r="E292" s="399" t="s">
        <v>275</v>
      </c>
      <c r="F292" s="399"/>
      <c r="G292" s="10">
        <f>'Пр.4 ведом.21'!G742</f>
        <v>3038.18</v>
      </c>
      <c r="H292" s="10">
        <f>'Пр.4 ведом.21'!H742</f>
        <v>2979.3580000000002</v>
      </c>
      <c r="I292" s="389">
        <f t="shared" si="40"/>
        <v>98.063906680973489</v>
      </c>
    </row>
    <row r="293" spans="1:9" s="191" customFormat="1" ht="31.5" x14ac:dyDescent="0.25">
      <c r="A293" s="29" t="s">
        <v>403</v>
      </c>
      <c r="B293" s="392" t="s">
        <v>1239</v>
      </c>
      <c r="C293" s="399" t="s">
        <v>264</v>
      </c>
      <c r="D293" s="399" t="s">
        <v>213</v>
      </c>
      <c r="E293" s="399" t="s">
        <v>275</v>
      </c>
      <c r="F293" s="399" t="s">
        <v>636</v>
      </c>
      <c r="G293" s="10">
        <f>G292</f>
        <v>3038.18</v>
      </c>
      <c r="H293" s="10">
        <f>H292</f>
        <v>2979.3580000000002</v>
      </c>
      <c r="I293" s="389">
        <f t="shared" si="40"/>
        <v>98.063906680973489</v>
      </c>
    </row>
    <row r="294" spans="1:9" s="191" customFormat="1" ht="15.75" x14ac:dyDescent="0.25">
      <c r="A294" s="29" t="s">
        <v>265</v>
      </c>
      <c r="B294" s="399" t="s">
        <v>1238</v>
      </c>
      <c r="C294" s="399" t="s">
        <v>264</v>
      </c>
      <c r="D294" s="399" t="s">
        <v>215</v>
      </c>
      <c r="E294" s="399"/>
      <c r="F294" s="399"/>
      <c r="G294" s="10">
        <f>G295</f>
        <v>1100</v>
      </c>
      <c r="H294" s="10">
        <f>H295</f>
        <v>1076.3240000000001</v>
      </c>
      <c r="I294" s="389">
        <f t="shared" si="40"/>
        <v>97.847636363636369</v>
      </c>
    </row>
    <row r="295" spans="1:9" s="191" customFormat="1" ht="31.5" x14ac:dyDescent="0.25">
      <c r="A295" s="45" t="s">
        <v>764</v>
      </c>
      <c r="B295" s="392" t="s">
        <v>1239</v>
      </c>
      <c r="C295" s="392" t="s">
        <v>264</v>
      </c>
      <c r="D295" s="392" t="s">
        <v>215</v>
      </c>
      <c r="E295" s="392"/>
      <c r="F295" s="392"/>
      <c r="G295" s="10">
        <f t="shared" ref="G295:H296" si="45">G296</f>
        <v>1100</v>
      </c>
      <c r="H295" s="10">
        <f t="shared" si="45"/>
        <v>1076.3240000000001</v>
      </c>
      <c r="I295" s="389">
        <f t="shared" si="40"/>
        <v>97.847636363636369</v>
      </c>
    </row>
    <row r="296" spans="1:9" s="191" customFormat="1" ht="31.5" x14ac:dyDescent="0.25">
      <c r="A296" s="29" t="s">
        <v>272</v>
      </c>
      <c r="B296" s="392" t="s">
        <v>1239</v>
      </c>
      <c r="C296" s="392" t="s">
        <v>264</v>
      </c>
      <c r="D296" s="392" t="s">
        <v>215</v>
      </c>
      <c r="E296" s="392" t="s">
        <v>273</v>
      </c>
      <c r="F296" s="392"/>
      <c r="G296" s="10">
        <f t="shared" si="45"/>
        <v>1100</v>
      </c>
      <c r="H296" s="10">
        <f t="shared" si="45"/>
        <v>1076.3240000000001</v>
      </c>
      <c r="I296" s="389">
        <f t="shared" si="40"/>
        <v>97.847636363636369</v>
      </c>
    </row>
    <row r="297" spans="1:9" s="191" customFormat="1" ht="15.75" x14ac:dyDescent="0.25">
      <c r="A297" s="31" t="s">
        <v>274</v>
      </c>
      <c r="B297" s="392" t="s">
        <v>1239</v>
      </c>
      <c r="C297" s="392" t="s">
        <v>264</v>
      </c>
      <c r="D297" s="392" t="s">
        <v>215</v>
      </c>
      <c r="E297" s="392" t="s">
        <v>275</v>
      </c>
      <c r="F297" s="392"/>
      <c r="G297" s="10">
        <f>'Пр.4 ведом.21'!G818</f>
        <v>1100</v>
      </c>
      <c r="H297" s="10">
        <f>'Пр.4 ведом.21'!H818</f>
        <v>1076.3240000000001</v>
      </c>
      <c r="I297" s="389">
        <f t="shared" si="40"/>
        <v>97.847636363636369</v>
      </c>
    </row>
    <row r="298" spans="1:9" s="191" customFormat="1" ht="31.5" x14ac:dyDescent="0.25">
      <c r="A298" s="29" t="s">
        <v>403</v>
      </c>
      <c r="B298" s="392" t="s">
        <v>1239</v>
      </c>
      <c r="C298" s="399" t="s">
        <v>264</v>
      </c>
      <c r="D298" s="399" t="s">
        <v>215</v>
      </c>
      <c r="E298" s="399" t="s">
        <v>275</v>
      </c>
      <c r="F298" s="399" t="s">
        <v>636</v>
      </c>
      <c r="G298" s="10">
        <f>G297</f>
        <v>1100</v>
      </c>
      <c r="H298" s="10">
        <f>H297</f>
        <v>1076.3240000000001</v>
      </c>
      <c r="I298" s="389">
        <f t="shared" si="40"/>
        <v>97.847636363636369</v>
      </c>
    </row>
    <row r="299" spans="1:9" s="191" customFormat="1" ht="63" x14ac:dyDescent="0.25">
      <c r="A299" s="394" t="s">
        <v>932</v>
      </c>
      <c r="B299" s="395" t="s">
        <v>1241</v>
      </c>
      <c r="C299" s="395"/>
      <c r="D299" s="395"/>
      <c r="E299" s="395"/>
      <c r="F299" s="395"/>
      <c r="G299" s="59">
        <f>G300</f>
        <v>291.10000000000002</v>
      </c>
      <c r="H299" s="59">
        <f>H300</f>
        <v>91</v>
      </c>
      <c r="I299" s="492">
        <f t="shared" si="40"/>
        <v>31.260735142562691</v>
      </c>
    </row>
    <row r="300" spans="1:9" s="191" customFormat="1" ht="15.75" x14ac:dyDescent="0.25">
      <c r="A300" s="29" t="s">
        <v>263</v>
      </c>
      <c r="B300" s="392" t="s">
        <v>1241</v>
      </c>
      <c r="C300" s="399" t="s">
        <v>264</v>
      </c>
      <c r="D300" s="399"/>
      <c r="E300" s="399"/>
      <c r="F300" s="399"/>
      <c r="G300" s="10">
        <f t="shared" ref="G300:H300" si="46">G301</f>
        <v>291.10000000000002</v>
      </c>
      <c r="H300" s="10">
        <f t="shared" si="46"/>
        <v>91</v>
      </c>
      <c r="I300" s="389">
        <f t="shared" si="40"/>
        <v>31.260735142562691</v>
      </c>
    </row>
    <row r="301" spans="1:9" s="191" customFormat="1" ht="15.75" x14ac:dyDescent="0.25">
      <c r="A301" s="45" t="s">
        <v>404</v>
      </c>
      <c r="B301" s="392" t="s">
        <v>1241</v>
      </c>
      <c r="C301" s="399" t="s">
        <v>264</v>
      </c>
      <c r="D301" s="399" t="s">
        <v>118</v>
      </c>
      <c r="E301" s="399"/>
      <c r="F301" s="399"/>
      <c r="G301" s="10">
        <f t="shared" ref="G301:H303" si="47">G302</f>
        <v>291.10000000000002</v>
      </c>
      <c r="H301" s="10">
        <f t="shared" si="47"/>
        <v>91</v>
      </c>
      <c r="I301" s="389">
        <f t="shared" si="40"/>
        <v>31.260735142562691</v>
      </c>
    </row>
    <row r="302" spans="1:9" ht="97.9" customHeight="1" x14ac:dyDescent="0.25">
      <c r="A302" s="396" t="s">
        <v>1491</v>
      </c>
      <c r="B302" s="392" t="s">
        <v>1242</v>
      </c>
      <c r="C302" s="392" t="s">
        <v>264</v>
      </c>
      <c r="D302" s="392" t="s">
        <v>118</v>
      </c>
      <c r="E302" s="392"/>
      <c r="F302" s="392"/>
      <c r="G302" s="10">
        <f t="shared" si="47"/>
        <v>291.10000000000002</v>
      </c>
      <c r="H302" s="10">
        <f t="shared" si="47"/>
        <v>91</v>
      </c>
      <c r="I302" s="389">
        <f t="shared" si="40"/>
        <v>31.260735142562691</v>
      </c>
    </row>
    <row r="303" spans="1:9" ht="31.5" x14ac:dyDescent="0.25">
      <c r="A303" s="396" t="s">
        <v>272</v>
      </c>
      <c r="B303" s="392" t="s">
        <v>1242</v>
      </c>
      <c r="C303" s="392" t="s">
        <v>264</v>
      </c>
      <c r="D303" s="392" t="s">
        <v>118</v>
      </c>
      <c r="E303" s="392" t="s">
        <v>273</v>
      </c>
      <c r="F303" s="392"/>
      <c r="G303" s="10">
        <f t="shared" si="47"/>
        <v>291.10000000000002</v>
      </c>
      <c r="H303" s="10">
        <f t="shared" si="47"/>
        <v>91</v>
      </c>
      <c r="I303" s="389">
        <f t="shared" si="40"/>
        <v>31.260735142562691</v>
      </c>
    </row>
    <row r="304" spans="1:9" ht="15.75" x14ac:dyDescent="0.25">
      <c r="A304" s="396" t="s">
        <v>274</v>
      </c>
      <c r="B304" s="392" t="s">
        <v>1242</v>
      </c>
      <c r="C304" s="392" t="s">
        <v>264</v>
      </c>
      <c r="D304" s="392" t="s">
        <v>118</v>
      </c>
      <c r="E304" s="392" t="s">
        <v>275</v>
      </c>
      <c r="F304" s="392"/>
      <c r="G304" s="10">
        <f>'Пр.4 ведом.21'!G672</f>
        <v>291.10000000000002</v>
      </c>
      <c r="H304" s="10">
        <f>'Пр.4 ведом.21'!H672</f>
        <v>91</v>
      </c>
      <c r="I304" s="389">
        <f t="shared" si="40"/>
        <v>31.260735142562691</v>
      </c>
    </row>
    <row r="305" spans="1:9" s="191" customFormat="1" ht="31.5" x14ac:dyDescent="0.25">
      <c r="A305" s="29" t="s">
        <v>403</v>
      </c>
      <c r="B305" s="392" t="s">
        <v>1242</v>
      </c>
      <c r="C305" s="399" t="s">
        <v>264</v>
      </c>
      <c r="D305" s="399" t="s">
        <v>118</v>
      </c>
      <c r="E305" s="399" t="s">
        <v>275</v>
      </c>
      <c r="F305" s="399" t="s">
        <v>636</v>
      </c>
      <c r="G305" s="10">
        <f>G304</f>
        <v>291.10000000000002</v>
      </c>
      <c r="H305" s="10">
        <f>H304</f>
        <v>91</v>
      </c>
      <c r="I305" s="389">
        <f t="shared" si="40"/>
        <v>31.260735142562691</v>
      </c>
    </row>
    <row r="306" spans="1:9" s="191" customFormat="1" ht="31.5" x14ac:dyDescent="0.25">
      <c r="A306" s="394" t="s">
        <v>937</v>
      </c>
      <c r="B306" s="395" t="s">
        <v>1252</v>
      </c>
      <c r="C306" s="7"/>
      <c r="D306" s="7"/>
      <c r="E306" s="7"/>
      <c r="F306" s="7"/>
      <c r="G306" s="59">
        <f>G307</f>
        <v>3001.8</v>
      </c>
      <c r="H306" s="59">
        <f>H307</f>
        <v>2597.4380000000001</v>
      </c>
      <c r="I306" s="492">
        <f t="shared" si="40"/>
        <v>86.529349057232324</v>
      </c>
    </row>
    <row r="307" spans="1:9" s="191" customFormat="1" ht="15.75" x14ac:dyDescent="0.25">
      <c r="A307" s="29" t="s">
        <v>263</v>
      </c>
      <c r="B307" s="392" t="s">
        <v>1252</v>
      </c>
      <c r="C307" s="399" t="s">
        <v>264</v>
      </c>
      <c r="D307" s="399"/>
      <c r="E307" s="399"/>
      <c r="F307" s="399"/>
      <c r="G307" s="10">
        <f t="shared" ref="G307:H307" si="48">G308</f>
        <v>3001.8</v>
      </c>
      <c r="H307" s="10">
        <f t="shared" si="48"/>
        <v>2597.4380000000001</v>
      </c>
      <c r="I307" s="389">
        <f t="shared" si="40"/>
        <v>86.529349057232324</v>
      </c>
    </row>
    <row r="308" spans="1:9" s="191" customFormat="1" ht="15.75" x14ac:dyDescent="0.25">
      <c r="A308" s="29" t="s">
        <v>425</v>
      </c>
      <c r="B308" s="392" t="s">
        <v>1252</v>
      </c>
      <c r="C308" s="399" t="s">
        <v>264</v>
      </c>
      <c r="D308" s="399" t="s">
        <v>213</v>
      </c>
      <c r="E308" s="399"/>
      <c r="F308" s="399"/>
      <c r="G308" s="10">
        <f>G309</f>
        <v>3001.8</v>
      </c>
      <c r="H308" s="10">
        <f>H309</f>
        <v>2597.4380000000001</v>
      </c>
      <c r="I308" s="389">
        <f t="shared" si="40"/>
        <v>86.529349057232324</v>
      </c>
    </row>
    <row r="309" spans="1:9" s="191" customFormat="1" ht="47.25" x14ac:dyDescent="0.25">
      <c r="A309" s="29" t="s">
        <v>602</v>
      </c>
      <c r="B309" s="392" t="s">
        <v>1253</v>
      </c>
      <c r="C309" s="399" t="s">
        <v>264</v>
      </c>
      <c r="D309" s="399" t="s">
        <v>213</v>
      </c>
      <c r="E309" s="399"/>
      <c r="F309" s="399"/>
      <c r="G309" s="10">
        <f t="shared" ref="G309:H310" si="49">G310</f>
        <v>3001.8</v>
      </c>
      <c r="H309" s="10">
        <f t="shared" si="49"/>
        <v>2597.4380000000001</v>
      </c>
      <c r="I309" s="389">
        <f t="shared" si="40"/>
        <v>86.529349057232324</v>
      </c>
    </row>
    <row r="310" spans="1:9" s="191" customFormat="1" ht="31.5" x14ac:dyDescent="0.25">
      <c r="A310" s="29" t="s">
        <v>272</v>
      </c>
      <c r="B310" s="392" t="s">
        <v>1253</v>
      </c>
      <c r="C310" s="399" t="s">
        <v>264</v>
      </c>
      <c r="D310" s="399" t="s">
        <v>213</v>
      </c>
      <c r="E310" s="399" t="s">
        <v>273</v>
      </c>
      <c r="F310" s="399"/>
      <c r="G310" s="10">
        <f t="shared" si="49"/>
        <v>3001.8</v>
      </c>
      <c r="H310" s="10">
        <f t="shared" si="49"/>
        <v>2597.4380000000001</v>
      </c>
      <c r="I310" s="389">
        <f t="shared" si="40"/>
        <v>86.529349057232324</v>
      </c>
    </row>
    <row r="311" spans="1:9" s="191" customFormat="1" ht="15.75" x14ac:dyDescent="0.25">
      <c r="A311" s="29" t="s">
        <v>274</v>
      </c>
      <c r="B311" s="392" t="s">
        <v>1253</v>
      </c>
      <c r="C311" s="399" t="s">
        <v>264</v>
      </c>
      <c r="D311" s="399" t="s">
        <v>213</v>
      </c>
      <c r="E311" s="399" t="s">
        <v>275</v>
      </c>
      <c r="F311" s="399"/>
      <c r="G311" s="389">
        <f>'Пр.4 ведом.21'!G746</f>
        <v>3001.8</v>
      </c>
      <c r="H311" s="389">
        <f>'Пр.4 ведом.21'!H746</f>
        <v>2597.4380000000001</v>
      </c>
      <c r="I311" s="389">
        <f t="shared" si="40"/>
        <v>86.529349057232324</v>
      </c>
    </row>
    <row r="312" spans="1:9" s="191" customFormat="1" ht="31.5" x14ac:dyDescent="0.25">
      <c r="A312" s="29" t="s">
        <v>403</v>
      </c>
      <c r="B312" s="392" t="s">
        <v>1253</v>
      </c>
      <c r="C312" s="399" t="s">
        <v>264</v>
      </c>
      <c r="D312" s="399" t="s">
        <v>213</v>
      </c>
      <c r="E312" s="399" t="s">
        <v>275</v>
      </c>
      <c r="F312" s="399" t="s">
        <v>636</v>
      </c>
      <c r="G312" s="10">
        <f>G311</f>
        <v>3001.8</v>
      </c>
      <c r="H312" s="10">
        <f>H311</f>
        <v>2597.4380000000001</v>
      </c>
      <c r="I312" s="389">
        <f t="shared" si="40"/>
        <v>86.529349057232324</v>
      </c>
    </row>
    <row r="313" spans="1:9" s="191" customFormat="1" ht="31.5" x14ac:dyDescent="0.25">
      <c r="A313" s="394" t="s">
        <v>938</v>
      </c>
      <c r="B313" s="395" t="s">
        <v>1254</v>
      </c>
      <c r="C313" s="7"/>
      <c r="D313" s="7"/>
      <c r="E313" s="7"/>
      <c r="F313" s="7"/>
      <c r="G313" s="59">
        <f>G314</f>
        <v>1384.6</v>
      </c>
      <c r="H313" s="59">
        <f>H314</f>
        <v>1286.415</v>
      </c>
      <c r="I313" s="492">
        <f t="shared" si="40"/>
        <v>92.908782319803564</v>
      </c>
    </row>
    <row r="314" spans="1:9" s="191" customFormat="1" ht="15.75" x14ac:dyDescent="0.25">
      <c r="A314" s="29" t="s">
        <v>263</v>
      </c>
      <c r="B314" s="392" t="s">
        <v>1254</v>
      </c>
      <c r="C314" s="399" t="s">
        <v>264</v>
      </c>
      <c r="D314" s="399"/>
      <c r="E314" s="399"/>
      <c r="F314" s="399"/>
      <c r="G314" s="10">
        <f t="shared" ref="G314:H314" si="50">G315</f>
        <v>1384.6</v>
      </c>
      <c r="H314" s="10">
        <f t="shared" si="50"/>
        <v>1286.415</v>
      </c>
      <c r="I314" s="389">
        <f t="shared" si="40"/>
        <v>92.908782319803564</v>
      </c>
    </row>
    <row r="315" spans="1:9" s="191" customFormat="1" ht="15.75" x14ac:dyDescent="0.25">
      <c r="A315" s="29" t="s">
        <v>425</v>
      </c>
      <c r="B315" s="392" t="s">
        <v>1254</v>
      </c>
      <c r="C315" s="399" t="s">
        <v>264</v>
      </c>
      <c r="D315" s="399" t="s">
        <v>213</v>
      </c>
      <c r="E315" s="399"/>
      <c r="F315" s="399"/>
      <c r="G315" s="10">
        <f t="shared" ref="G315:H317" si="51">G316</f>
        <v>1384.6</v>
      </c>
      <c r="H315" s="10">
        <f t="shared" si="51"/>
        <v>1286.415</v>
      </c>
      <c r="I315" s="389">
        <f t="shared" si="40"/>
        <v>92.908782319803564</v>
      </c>
    </row>
    <row r="316" spans="1:9" s="191" customFormat="1" ht="47.25" x14ac:dyDescent="0.25">
      <c r="A316" s="396" t="s">
        <v>438</v>
      </c>
      <c r="B316" s="392" t="s">
        <v>1255</v>
      </c>
      <c r="C316" s="399" t="s">
        <v>264</v>
      </c>
      <c r="D316" s="399" t="s">
        <v>213</v>
      </c>
      <c r="E316" s="399"/>
      <c r="F316" s="399"/>
      <c r="G316" s="10">
        <f t="shared" si="51"/>
        <v>1384.6</v>
      </c>
      <c r="H316" s="10">
        <f t="shared" si="51"/>
        <v>1286.415</v>
      </c>
      <c r="I316" s="389">
        <f t="shared" si="40"/>
        <v>92.908782319803564</v>
      </c>
    </row>
    <row r="317" spans="1:9" s="191" customFormat="1" ht="31.5" x14ac:dyDescent="0.25">
      <c r="A317" s="396" t="s">
        <v>272</v>
      </c>
      <c r="B317" s="392" t="s">
        <v>1255</v>
      </c>
      <c r="C317" s="399" t="s">
        <v>264</v>
      </c>
      <c r="D317" s="399" t="s">
        <v>213</v>
      </c>
      <c r="E317" s="399" t="s">
        <v>273</v>
      </c>
      <c r="F317" s="399"/>
      <c r="G317" s="10">
        <f t="shared" si="51"/>
        <v>1384.6</v>
      </c>
      <c r="H317" s="10">
        <f t="shared" si="51"/>
        <v>1286.415</v>
      </c>
      <c r="I317" s="389">
        <f t="shared" si="40"/>
        <v>92.908782319803564</v>
      </c>
    </row>
    <row r="318" spans="1:9" s="191" customFormat="1" ht="15.75" x14ac:dyDescent="0.25">
      <c r="A318" s="396" t="s">
        <v>274</v>
      </c>
      <c r="B318" s="392" t="s">
        <v>1255</v>
      </c>
      <c r="C318" s="399" t="s">
        <v>264</v>
      </c>
      <c r="D318" s="399" t="s">
        <v>213</v>
      </c>
      <c r="E318" s="399" t="s">
        <v>275</v>
      </c>
      <c r="F318" s="399"/>
      <c r="G318" s="10">
        <f>'Пр.3 Рд,пр, ЦС,ВР 21'!F665</f>
        <v>1384.6</v>
      </c>
      <c r="H318" s="10">
        <f>'Пр.3 Рд,пр, ЦС,ВР 21'!G665</f>
        <v>1286.415</v>
      </c>
      <c r="I318" s="389">
        <f t="shared" si="40"/>
        <v>92.908782319803564</v>
      </c>
    </row>
    <row r="319" spans="1:9" s="191" customFormat="1" ht="31.5" x14ac:dyDescent="0.25">
      <c r="A319" s="29" t="s">
        <v>403</v>
      </c>
      <c r="B319" s="392" t="s">
        <v>1255</v>
      </c>
      <c r="C319" s="399" t="s">
        <v>264</v>
      </c>
      <c r="D319" s="399" t="s">
        <v>213</v>
      </c>
      <c r="E319" s="399" t="s">
        <v>275</v>
      </c>
      <c r="F319" s="399" t="s">
        <v>636</v>
      </c>
      <c r="G319" s="10">
        <f>G318</f>
        <v>1384.6</v>
      </c>
      <c r="H319" s="10">
        <f>H318</f>
        <v>1286.415</v>
      </c>
      <c r="I319" s="389">
        <f t="shared" si="40"/>
        <v>92.908782319803564</v>
      </c>
    </row>
    <row r="320" spans="1:9" s="191" customFormat="1" ht="31.5" x14ac:dyDescent="0.25">
      <c r="A320" s="201" t="s">
        <v>939</v>
      </c>
      <c r="B320" s="395" t="s">
        <v>1257</v>
      </c>
      <c r="C320" s="7"/>
      <c r="D320" s="7"/>
      <c r="E320" s="7"/>
      <c r="F320" s="7"/>
      <c r="G320" s="59">
        <f>G321</f>
        <v>752.9</v>
      </c>
      <c r="H320" s="59">
        <f>H321</f>
        <v>333.27</v>
      </c>
      <c r="I320" s="492">
        <f t="shared" si="40"/>
        <v>44.26484260858016</v>
      </c>
    </row>
    <row r="321" spans="1:9" s="191" customFormat="1" ht="15.75" x14ac:dyDescent="0.25">
      <c r="A321" s="29" t="s">
        <v>263</v>
      </c>
      <c r="B321" s="392" t="s">
        <v>1257</v>
      </c>
      <c r="C321" s="399" t="s">
        <v>264</v>
      </c>
      <c r="D321" s="399"/>
      <c r="E321" s="399"/>
      <c r="F321" s="399"/>
      <c r="G321" s="10">
        <f t="shared" ref="G321:H321" si="52">G322</f>
        <v>752.9</v>
      </c>
      <c r="H321" s="10">
        <f t="shared" si="52"/>
        <v>333.27</v>
      </c>
      <c r="I321" s="389">
        <f t="shared" si="40"/>
        <v>44.26484260858016</v>
      </c>
    </row>
    <row r="322" spans="1:9" s="191" customFormat="1" ht="15.75" x14ac:dyDescent="0.25">
      <c r="A322" s="29" t="s">
        <v>425</v>
      </c>
      <c r="B322" s="392" t="s">
        <v>1257</v>
      </c>
      <c r="C322" s="399" t="s">
        <v>264</v>
      </c>
      <c r="D322" s="399" t="s">
        <v>213</v>
      </c>
      <c r="E322" s="399"/>
      <c r="F322" s="399"/>
      <c r="G322" s="10">
        <f t="shared" ref="G322:H324" si="53">G323</f>
        <v>752.9</v>
      </c>
      <c r="H322" s="10">
        <f t="shared" si="53"/>
        <v>333.27</v>
      </c>
      <c r="I322" s="389">
        <f t="shared" si="40"/>
        <v>44.26484260858016</v>
      </c>
    </row>
    <row r="323" spans="1:9" s="191" customFormat="1" ht="47.25" x14ac:dyDescent="0.25">
      <c r="A323" s="180" t="s">
        <v>827</v>
      </c>
      <c r="B323" s="392" t="s">
        <v>1422</v>
      </c>
      <c r="C323" s="399" t="s">
        <v>264</v>
      </c>
      <c r="D323" s="399" t="s">
        <v>213</v>
      </c>
      <c r="E323" s="399"/>
      <c r="F323" s="399"/>
      <c r="G323" s="10">
        <f t="shared" si="53"/>
        <v>752.9</v>
      </c>
      <c r="H323" s="10">
        <f t="shared" si="53"/>
        <v>333.27</v>
      </c>
      <c r="I323" s="389">
        <f t="shared" si="40"/>
        <v>44.26484260858016</v>
      </c>
    </row>
    <row r="324" spans="1:9" s="191" customFormat="1" ht="31.5" x14ac:dyDescent="0.25">
      <c r="A324" s="29" t="s">
        <v>272</v>
      </c>
      <c r="B324" s="392" t="s">
        <v>1422</v>
      </c>
      <c r="C324" s="399" t="s">
        <v>264</v>
      </c>
      <c r="D324" s="399" t="s">
        <v>213</v>
      </c>
      <c r="E324" s="399" t="s">
        <v>273</v>
      </c>
      <c r="F324" s="399"/>
      <c r="G324" s="10">
        <f t="shared" si="53"/>
        <v>752.9</v>
      </c>
      <c r="H324" s="10">
        <f t="shared" si="53"/>
        <v>333.27</v>
      </c>
      <c r="I324" s="389">
        <f t="shared" si="40"/>
        <v>44.26484260858016</v>
      </c>
    </row>
    <row r="325" spans="1:9" s="191" customFormat="1" ht="15.75" x14ac:dyDescent="0.25">
      <c r="A325" s="180" t="s">
        <v>274</v>
      </c>
      <c r="B325" s="392" t="s">
        <v>1422</v>
      </c>
      <c r="C325" s="399" t="s">
        <v>264</v>
      </c>
      <c r="D325" s="399" t="s">
        <v>213</v>
      </c>
      <c r="E325" s="399" t="s">
        <v>275</v>
      </c>
      <c r="F325" s="399"/>
      <c r="G325" s="10">
        <f>'Пр.3 Рд,пр, ЦС,ВР 21'!F669</f>
        <v>752.9</v>
      </c>
      <c r="H325" s="10">
        <f>'Пр.3 Рд,пр, ЦС,ВР 21'!G669</f>
        <v>333.27</v>
      </c>
      <c r="I325" s="389">
        <f t="shared" si="40"/>
        <v>44.26484260858016</v>
      </c>
    </row>
    <row r="326" spans="1:9" s="191" customFormat="1" ht="31.5" x14ac:dyDescent="0.25">
      <c r="A326" s="29" t="s">
        <v>403</v>
      </c>
      <c r="B326" s="392" t="s">
        <v>1422</v>
      </c>
      <c r="C326" s="399" t="s">
        <v>264</v>
      </c>
      <c r="D326" s="399" t="s">
        <v>213</v>
      </c>
      <c r="E326" s="399" t="s">
        <v>275</v>
      </c>
      <c r="F326" s="399" t="s">
        <v>636</v>
      </c>
      <c r="G326" s="10">
        <f>G325</f>
        <v>752.9</v>
      </c>
      <c r="H326" s="10">
        <f>H325</f>
        <v>333.27</v>
      </c>
      <c r="I326" s="389">
        <f t="shared" si="40"/>
        <v>44.26484260858016</v>
      </c>
    </row>
    <row r="327" spans="1:9" s="191" customFormat="1" ht="94.5" x14ac:dyDescent="0.25">
      <c r="A327" s="394" t="s">
        <v>1410</v>
      </c>
      <c r="B327" s="395" t="s">
        <v>1244</v>
      </c>
      <c r="C327" s="395"/>
      <c r="D327" s="395"/>
      <c r="E327" s="399"/>
      <c r="F327" s="399"/>
      <c r="G327" s="59">
        <f t="shared" ref="G327:H331" si="54">G328</f>
        <v>1738</v>
      </c>
      <c r="H327" s="59">
        <f t="shared" si="54"/>
        <v>1410.192</v>
      </c>
      <c r="I327" s="492">
        <f t="shared" si="40"/>
        <v>81.138780207134644</v>
      </c>
    </row>
    <row r="328" spans="1:9" s="191" customFormat="1" ht="15.75" x14ac:dyDescent="0.25">
      <c r="A328" s="29" t="s">
        <v>263</v>
      </c>
      <c r="B328" s="392" t="s">
        <v>1244</v>
      </c>
      <c r="C328" s="392" t="s">
        <v>264</v>
      </c>
      <c r="D328" s="392"/>
      <c r="E328" s="399"/>
      <c r="F328" s="399"/>
      <c r="G328" s="10">
        <f t="shared" si="54"/>
        <v>1738</v>
      </c>
      <c r="H328" s="10">
        <f t="shared" si="54"/>
        <v>1410.192</v>
      </c>
      <c r="I328" s="389">
        <f t="shared" si="40"/>
        <v>81.138780207134644</v>
      </c>
    </row>
    <row r="329" spans="1:9" s="191" customFormat="1" ht="15.75" x14ac:dyDescent="0.25">
      <c r="A329" s="45" t="s">
        <v>404</v>
      </c>
      <c r="B329" s="392" t="s">
        <v>1244</v>
      </c>
      <c r="C329" s="392" t="s">
        <v>264</v>
      </c>
      <c r="D329" s="392" t="s">
        <v>118</v>
      </c>
      <c r="E329" s="399"/>
      <c r="F329" s="399"/>
      <c r="G329" s="10">
        <f t="shared" si="54"/>
        <v>1738</v>
      </c>
      <c r="H329" s="10">
        <f t="shared" si="54"/>
        <v>1410.192</v>
      </c>
      <c r="I329" s="389">
        <f t="shared" si="40"/>
        <v>81.138780207134644</v>
      </c>
    </row>
    <row r="330" spans="1:9" s="191" customFormat="1" ht="102.2" customHeight="1" x14ac:dyDescent="0.25">
      <c r="A330" s="148" t="s">
        <v>1474</v>
      </c>
      <c r="B330" s="392" t="s">
        <v>1245</v>
      </c>
      <c r="C330" s="392" t="s">
        <v>264</v>
      </c>
      <c r="D330" s="392" t="s">
        <v>118</v>
      </c>
      <c r="E330" s="399"/>
      <c r="F330" s="399"/>
      <c r="G330" s="10">
        <f t="shared" si="54"/>
        <v>1738</v>
      </c>
      <c r="H330" s="10">
        <f t="shared" si="54"/>
        <v>1410.192</v>
      </c>
      <c r="I330" s="389">
        <f t="shared" si="40"/>
        <v>81.138780207134644</v>
      </c>
    </row>
    <row r="331" spans="1:9" s="191" customFormat="1" ht="31.5" x14ac:dyDescent="0.25">
      <c r="A331" s="396" t="s">
        <v>272</v>
      </c>
      <c r="B331" s="392" t="s">
        <v>1245</v>
      </c>
      <c r="C331" s="392" t="s">
        <v>264</v>
      </c>
      <c r="D331" s="392" t="s">
        <v>118</v>
      </c>
      <c r="E331" s="392" t="s">
        <v>273</v>
      </c>
      <c r="F331" s="399"/>
      <c r="G331" s="10">
        <f t="shared" si="54"/>
        <v>1738</v>
      </c>
      <c r="H331" s="10">
        <f t="shared" si="54"/>
        <v>1410.192</v>
      </c>
      <c r="I331" s="389">
        <f t="shared" si="40"/>
        <v>81.138780207134644</v>
      </c>
    </row>
    <row r="332" spans="1:9" s="191" customFormat="1" ht="15.75" x14ac:dyDescent="0.25">
      <c r="A332" s="396" t="s">
        <v>274</v>
      </c>
      <c r="B332" s="392" t="s">
        <v>1245</v>
      </c>
      <c r="C332" s="392" t="s">
        <v>264</v>
      </c>
      <c r="D332" s="392" t="s">
        <v>118</v>
      </c>
      <c r="E332" s="392" t="s">
        <v>275</v>
      </c>
      <c r="F332" s="399"/>
      <c r="G332" s="10">
        <f>'Пр.4 ведом.21'!G676</f>
        <v>1738</v>
      </c>
      <c r="H332" s="10">
        <f>'Пр.4 ведом.21'!H676</f>
        <v>1410.192</v>
      </c>
      <c r="I332" s="389">
        <f t="shared" si="40"/>
        <v>81.138780207134644</v>
      </c>
    </row>
    <row r="333" spans="1:9" s="191" customFormat="1" ht="31.5" x14ac:dyDescent="0.25">
      <c r="A333" s="29" t="s">
        <v>403</v>
      </c>
      <c r="B333" s="392" t="s">
        <v>1245</v>
      </c>
      <c r="C333" s="392" t="s">
        <v>264</v>
      </c>
      <c r="D333" s="392" t="s">
        <v>118</v>
      </c>
      <c r="E333" s="392" t="s">
        <v>275</v>
      </c>
      <c r="F333" s="399" t="s">
        <v>636</v>
      </c>
      <c r="G333" s="10">
        <f>G328</f>
        <v>1738</v>
      </c>
      <c r="H333" s="10">
        <f>H328</f>
        <v>1410.192</v>
      </c>
      <c r="I333" s="389">
        <f t="shared" si="40"/>
        <v>81.138780207134644</v>
      </c>
    </row>
    <row r="334" spans="1:9" s="191" customFormat="1" ht="31.5" x14ac:dyDescent="0.25">
      <c r="A334" s="268" t="s">
        <v>1404</v>
      </c>
      <c r="B334" s="395" t="s">
        <v>1403</v>
      </c>
      <c r="C334" s="395"/>
      <c r="D334" s="395"/>
      <c r="E334" s="395"/>
      <c r="F334" s="7"/>
      <c r="G334" s="59">
        <f t="shared" ref="G334:H338" si="55">G335</f>
        <v>5296.5999999999995</v>
      </c>
      <c r="H334" s="59">
        <f t="shared" si="55"/>
        <v>5296.5439999999999</v>
      </c>
      <c r="I334" s="492">
        <f t="shared" si="40"/>
        <v>99.998942717970024</v>
      </c>
    </row>
    <row r="335" spans="1:9" s="191" customFormat="1" ht="15.75" x14ac:dyDescent="0.25">
      <c r="A335" s="180" t="s">
        <v>263</v>
      </c>
      <c r="B335" s="392" t="s">
        <v>1403</v>
      </c>
      <c r="C335" s="392" t="s">
        <v>264</v>
      </c>
      <c r="D335" s="392"/>
      <c r="E335" s="392"/>
      <c r="F335" s="399"/>
      <c r="G335" s="10">
        <f t="shared" si="55"/>
        <v>5296.5999999999995</v>
      </c>
      <c r="H335" s="10">
        <f t="shared" si="55"/>
        <v>5296.5439999999999</v>
      </c>
      <c r="I335" s="389">
        <f t="shared" si="40"/>
        <v>99.998942717970024</v>
      </c>
    </row>
    <row r="336" spans="1:9" s="191" customFormat="1" ht="15.75" x14ac:dyDescent="0.25">
      <c r="A336" s="180" t="s">
        <v>425</v>
      </c>
      <c r="B336" s="392" t="s">
        <v>1403</v>
      </c>
      <c r="C336" s="392" t="s">
        <v>264</v>
      </c>
      <c r="D336" s="392" t="s">
        <v>213</v>
      </c>
      <c r="E336" s="392"/>
      <c r="F336" s="399"/>
      <c r="G336" s="10">
        <f t="shared" si="55"/>
        <v>5296.5999999999995</v>
      </c>
      <c r="H336" s="10">
        <f t="shared" si="55"/>
        <v>5296.5439999999999</v>
      </c>
      <c r="I336" s="389">
        <f t="shared" si="40"/>
        <v>99.998942717970024</v>
      </c>
    </row>
    <row r="337" spans="1:9" s="191" customFormat="1" ht="63" x14ac:dyDescent="0.25">
      <c r="A337" s="267" t="s">
        <v>1390</v>
      </c>
      <c r="B337" s="392" t="s">
        <v>1442</v>
      </c>
      <c r="C337" s="392" t="s">
        <v>264</v>
      </c>
      <c r="D337" s="392" t="s">
        <v>213</v>
      </c>
      <c r="E337" s="392"/>
      <c r="F337" s="399"/>
      <c r="G337" s="10">
        <f t="shared" si="55"/>
        <v>5296.5999999999995</v>
      </c>
      <c r="H337" s="10">
        <f t="shared" si="55"/>
        <v>5296.5439999999999</v>
      </c>
      <c r="I337" s="389">
        <f t="shared" ref="I337:I400" si="56">H337/G337*100</f>
        <v>99.998942717970024</v>
      </c>
    </row>
    <row r="338" spans="1:9" s="191" customFormat="1" ht="31.5" x14ac:dyDescent="0.25">
      <c r="A338" s="31" t="s">
        <v>272</v>
      </c>
      <c r="B338" s="392" t="s">
        <v>1442</v>
      </c>
      <c r="C338" s="392" t="s">
        <v>264</v>
      </c>
      <c r="D338" s="392" t="s">
        <v>213</v>
      </c>
      <c r="E338" s="392" t="s">
        <v>273</v>
      </c>
      <c r="F338" s="399"/>
      <c r="G338" s="10">
        <f t="shared" si="55"/>
        <v>5296.5999999999995</v>
      </c>
      <c r="H338" s="10">
        <f t="shared" si="55"/>
        <v>5296.5439999999999</v>
      </c>
      <c r="I338" s="389">
        <f t="shared" si="56"/>
        <v>99.998942717970024</v>
      </c>
    </row>
    <row r="339" spans="1:9" s="191" customFormat="1" ht="15.75" x14ac:dyDescent="0.25">
      <c r="A339" s="31" t="s">
        <v>274</v>
      </c>
      <c r="B339" s="392" t="s">
        <v>1442</v>
      </c>
      <c r="C339" s="392" t="s">
        <v>264</v>
      </c>
      <c r="D339" s="392" t="s">
        <v>213</v>
      </c>
      <c r="E339" s="392" t="s">
        <v>275</v>
      </c>
      <c r="F339" s="399"/>
      <c r="G339" s="10">
        <f>'Пр.4 ведом.21'!G758</f>
        <v>5296.5999999999995</v>
      </c>
      <c r="H339" s="10">
        <f>'Пр.4 ведом.21'!H758</f>
        <v>5296.5439999999999</v>
      </c>
      <c r="I339" s="389">
        <f t="shared" si="56"/>
        <v>99.998942717970024</v>
      </c>
    </row>
    <row r="340" spans="1:9" s="191" customFormat="1" ht="31.5" x14ac:dyDescent="0.25">
      <c r="A340" s="180" t="s">
        <v>403</v>
      </c>
      <c r="B340" s="392" t="s">
        <v>1442</v>
      </c>
      <c r="C340" s="392" t="s">
        <v>264</v>
      </c>
      <c r="D340" s="392" t="s">
        <v>213</v>
      </c>
      <c r="E340" s="392" t="s">
        <v>275</v>
      </c>
      <c r="F340" s="399" t="s">
        <v>636</v>
      </c>
      <c r="G340" s="10">
        <f>G334</f>
        <v>5296.5999999999995</v>
      </c>
      <c r="H340" s="10">
        <f>H334</f>
        <v>5296.5439999999999</v>
      </c>
      <c r="I340" s="389">
        <f t="shared" si="56"/>
        <v>99.998942717970024</v>
      </c>
    </row>
    <row r="341" spans="1:9" s="191" customFormat="1" ht="31.5" hidden="1" x14ac:dyDescent="0.25">
      <c r="A341" s="268" t="s">
        <v>1426</v>
      </c>
      <c r="B341" s="395" t="s">
        <v>1414</v>
      </c>
      <c r="C341" s="392"/>
      <c r="D341" s="392"/>
      <c r="E341" s="392"/>
      <c r="F341" s="399"/>
      <c r="G341" s="59">
        <f t="shared" ref="G341:H345" si="57">G342</f>
        <v>0</v>
      </c>
      <c r="H341" s="59">
        <f t="shared" si="57"/>
        <v>0</v>
      </c>
      <c r="I341" s="389" t="e">
        <f t="shared" si="56"/>
        <v>#DIV/0!</v>
      </c>
    </row>
    <row r="342" spans="1:9" s="191" customFormat="1" ht="15.75" hidden="1" x14ac:dyDescent="0.25">
      <c r="A342" s="180" t="s">
        <v>263</v>
      </c>
      <c r="B342" s="392" t="s">
        <v>1414</v>
      </c>
      <c r="C342" s="392" t="s">
        <v>264</v>
      </c>
      <c r="D342" s="392"/>
      <c r="E342" s="392"/>
      <c r="F342" s="399"/>
      <c r="G342" s="10">
        <f t="shared" si="57"/>
        <v>0</v>
      </c>
      <c r="H342" s="10">
        <f t="shared" si="57"/>
        <v>0</v>
      </c>
      <c r="I342" s="389" t="e">
        <f t="shared" si="56"/>
        <v>#DIV/0!</v>
      </c>
    </row>
    <row r="343" spans="1:9" s="191" customFormat="1" ht="15.75" hidden="1" x14ac:dyDescent="0.25">
      <c r="A343" s="180" t="s">
        <v>425</v>
      </c>
      <c r="B343" s="392" t="s">
        <v>1414</v>
      </c>
      <c r="C343" s="392" t="s">
        <v>264</v>
      </c>
      <c r="D343" s="392" t="s">
        <v>213</v>
      </c>
      <c r="E343" s="392"/>
      <c r="F343" s="399"/>
      <c r="G343" s="10">
        <f t="shared" si="57"/>
        <v>0</v>
      </c>
      <c r="H343" s="10">
        <f t="shared" si="57"/>
        <v>0</v>
      </c>
      <c r="I343" s="389" t="e">
        <f t="shared" si="56"/>
        <v>#DIV/0!</v>
      </c>
    </row>
    <row r="344" spans="1:9" s="191" customFormat="1" ht="21.2" hidden="1" customHeight="1" x14ac:dyDescent="0.25">
      <c r="A344" s="267" t="s">
        <v>1415</v>
      </c>
      <c r="B344" s="392" t="s">
        <v>1416</v>
      </c>
      <c r="C344" s="392" t="s">
        <v>264</v>
      </c>
      <c r="D344" s="392" t="s">
        <v>213</v>
      </c>
      <c r="E344" s="392"/>
      <c r="F344" s="399"/>
      <c r="G344" s="10">
        <f t="shared" si="57"/>
        <v>0</v>
      </c>
      <c r="H344" s="10">
        <f t="shared" si="57"/>
        <v>0</v>
      </c>
      <c r="I344" s="389" t="e">
        <f t="shared" si="56"/>
        <v>#DIV/0!</v>
      </c>
    </row>
    <row r="345" spans="1:9" s="191" customFormat="1" ht="31.5" hidden="1" x14ac:dyDescent="0.25">
      <c r="A345" s="31" t="s">
        <v>272</v>
      </c>
      <c r="B345" s="392" t="s">
        <v>1416</v>
      </c>
      <c r="C345" s="392" t="s">
        <v>264</v>
      </c>
      <c r="D345" s="392" t="s">
        <v>213</v>
      </c>
      <c r="E345" s="392" t="s">
        <v>273</v>
      </c>
      <c r="F345" s="399"/>
      <c r="G345" s="10">
        <f t="shared" si="57"/>
        <v>0</v>
      </c>
      <c r="H345" s="10">
        <f t="shared" si="57"/>
        <v>0</v>
      </c>
      <c r="I345" s="389" t="e">
        <f t="shared" si="56"/>
        <v>#DIV/0!</v>
      </c>
    </row>
    <row r="346" spans="1:9" s="191" customFormat="1" ht="15.75" hidden="1" x14ac:dyDescent="0.25">
      <c r="A346" s="31" t="s">
        <v>274</v>
      </c>
      <c r="B346" s="392" t="s">
        <v>1416</v>
      </c>
      <c r="C346" s="392" t="s">
        <v>264</v>
      </c>
      <c r="D346" s="392" t="s">
        <v>213</v>
      </c>
      <c r="E346" s="392" t="s">
        <v>275</v>
      </c>
      <c r="F346" s="399"/>
      <c r="G346" s="10">
        <f>'Пр.4 ведом.21'!G762</f>
        <v>0</v>
      </c>
      <c r="H346" s="10">
        <f>'Пр.4 ведом.21'!H762</f>
        <v>0</v>
      </c>
      <c r="I346" s="389" t="e">
        <f t="shared" si="56"/>
        <v>#DIV/0!</v>
      </c>
    </row>
    <row r="347" spans="1:9" s="191" customFormat="1" ht="31.5" hidden="1" x14ac:dyDescent="0.25">
      <c r="A347" s="180" t="s">
        <v>403</v>
      </c>
      <c r="B347" s="392" t="s">
        <v>1416</v>
      </c>
      <c r="C347" s="392" t="s">
        <v>264</v>
      </c>
      <c r="D347" s="392" t="s">
        <v>213</v>
      </c>
      <c r="E347" s="392" t="s">
        <v>275</v>
      </c>
      <c r="F347" s="399" t="s">
        <v>636</v>
      </c>
      <c r="G347" s="10">
        <f>G344</f>
        <v>0</v>
      </c>
      <c r="H347" s="10">
        <f>H344</f>
        <v>0</v>
      </c>
      <c r="I347" s="389" t="e">
        <f t="shared" si="56"/>
        <v>#DIV/0!</v>
      </c>
    </row>
    <row r="348" spans="1:9" s="377" customFormat="1" ht="47.25" x14ac:dyDescent="0.25">
      <c r="A348" s="268" t="s">
        <v>1543</v>
      </c>
      <c r="B348" s="395" t="s">
        <v>1544</v>
      </c>
      <c r="C348" s="392"/>
      <c r="D348" s="392"/>
      <c r="E348" s="392"/>
      <c r="F348" s="399"/>
      <c r="G348" s="59">
        <f t="shared" ref="G348:H352" si="58">G349</f>
        <v>2864.7570000000001</v>
      </c>
      <c r="H348" s="59">
        <f t="shared" si="58"/>
        <v>2864.7559999999999</v>
      </c>
      <c r="I348" s="492">
        <f t="shared" si="56"/>
        <v>99.999965093025338</v>
      </c>
    </row>
    <row r="349" spans="1:9" s="377" customFormat="1" ht="15.75" x14ac:dyDescent="0.25">
      <c r="A349" s="180" t="s">
        <v>263</v>
      </c>
      <c r="B349" s="392" t="s">
        <v>1544</v>
      </c>
      <c r="C349" s="392" t="s">
        <v>264</v>
      </c>
      <c r="D349" s="392"/>
      <c r="E349" s="392"/>
      <c r="F349" s="399"/>
      <c r="G349" s="10">
        <f t="shared" si="58"/>
        <v>2864.7570000000001</v>
      </c>
      <c r="H349" s="10">
        <f t="shared" si="58"/>
        <v>2864.7559999999999</v>
      </c>
      <c r="I349" s="389">
        <f t="shared" si="56"/>
        <v>99.999965093025338</v>
      </c>
    </row>
    <row r="350" spans="1:9" s="377" customFormat="1" ht="15.75" x14ac:dyDescent="0.25">
      <c r="A350" s="180" t="s">
        <v>425</v>
      </c>
      <c r="B350" s="392" t="s">
        <v>1544</v>
      </c>
      <c r="C350" s="392" t="s">
        <v>264</v>
      </c>
      <c r="D350" s="392" t="s">
        <v>213</v>
      </c>
      <c r="E350" s="392"/>
      <c r="F350" s="399"/>
      <c r="G350" s="10">
        <f t="shared" si="58"/>
        <v>2864.7570000000001</v>
      </c>
      <c r="H350" s="10">
        <f t="shared" si="58"/>
        <v>2864.7559999999999</v>
      </c>
      <c r="I350" s="389">
        <f t="shared" si="56"/>
        <v>99.999965093025338</v>
      </c>
    </row>
    <row r="351" spans="1:9" s="377" customFormat="1" ht="47.25" x14ac:dyDescent="0.25">
      <c r="A351" s="267" t="s">
        <v>450</v>
      </c>
      <c r="B351" s="392" t="s">
        <v>1545</v>
      </c>
      <c r="C351" s="392" t="s">
        <v>264</v>
      </c>
      <c r="D351" s="392" t="s">
        <v>213</v>
      </c>
      <c r="E351" s="392"/>
      <c r="F351" s="399"/>
      <c r="G351" s="10">
        <f t="shared" si="58"/>
        <v>2864.7570000000001</v>
      </c>
      <c r="H351" s="10">
        <f t="shared" si="58"/>
        <v>2864.7559999999999</v>
      </c>
      <c r="I351" s="389">
        <f t="shared" si="56"/>
        <v>99.999965093025338</v>
      </c>
    </row>
    <row r="352" spans="1:9" s="377" customFormat="1" ht="31.5" x14ac:dyDescent="0.25">
      <c r="A352" s="31" t="s">
        <v>272</v>
      </c>
      <c r="B352" s="392" t="s">
        <v>1545</v>
      </c>
      <c r="C352" s="392" t="s">
        <v>264</v>
      </c>
      <c r="D352" s="392" t="s">
        <v>213</v>
      </c>
      <c r="E352" s="392"/>
      <c r="F352" s="399"/>
      <c r="G352" s="10">
        <f t="shared" si="58"/>
        <v>2864.7570000000001</v>
      </c>
      <c r="H352" s="10">
        <f t="shared" si="58"/>
        <v>2864.7559999999999</v>
      </c>
      <c r="I352" s="389">
        <f t="shared" si="56"/>
        <v>99.999965093025338</v>
      </c>
    </row>
    <row r="353" spans="1:9" s="377" customFormat="1" ht="15.75" x14ac:dyDescent="0.25">
      <c r="A353" s="31" t="s">
        <v>274</v>
      </c>
      <c r="B353" s="392" t="s">
        <v>1545</v>
      </c>
      <c r="C353" s="392" t="s">
        <v>264</v>
      </c>
      <c r="D353" s="392" t="s">
        <v>213</v>
      </c>
      <c r="E353" s="392" t="s">
        <v>273</v>
      </c>
      <c r="F353" s="399"/>
      <c r="G353" s="10">
        <f>'Пр.4 ведом.21'!G766</f>
        <v>2864.7570000000001</v>
      </c>
      <c r="H353" s="10">
        <f>'Пр.4 ведом.21'!H766</f>
        <v>2864.7559999999999</v>
      </c>
      <c r="I353" s="389">
        <f t="shared" si="56"/>
        <v>99.999965093025338</v>
      </c>
    </row>
    <row r="354" spans="1:9" s="377" customFormat="1" ht="31.5" x14ac:dyDescent="0.25">
      <c r="A354" s="29" t="s">
        <v>403</v>
      </c>
      <c r="B354" s="392" t="s">
        <v>1545</v>
      </c>
      <c r="C354" s="392" t="s">
        <v>264</v>
      </c>
      <c r="D354" s="392" t="s">
        <v>213</v>
      </c>
      <c r="E354" s="392" t="s">
        <v>275</v>
      </c>
      <c r="F354" s="399" t="s">
        <v>636</v>
      </c>
      <c r="G354" s="10">
        <f>G348</f>
        <v>2864.7570000000001</v>
      </c>
      <c r="H354" s="10">
        <f>H348</f>
        <v>2864.7559999999999</v>
      </c>
      <c r="I354" s="389">
        <f t="shared" si="56"/>
        <v>99.999965093025338</v>
      </c>
    </row>
    <row r="355" spans="1:9" s="377" customFormat="1" ht="31.5" x14ac:dyDescent="0.25">
      <c r="A355" s="268" t="s">
        <v>1554</v>
      </c>
      <c r="B355" s="395" t="s">
        <v>1556</v>
      </c>
      <c r="C355" s="395"/>
      <c r="D355" s="395"/>
      <c r="E355" s="395"/>
      <c r="F355" s="7"/>
      <c r="G355" s="59">
        <f>G356</f>
        <v>298.10700000000003</v>
      </c>
      <c r="H355" s="59">
        <f>H356</f>
        <v>288.25200000000001</v>
      </c>
      <c r="I355" s="492">
        <f t="shared" si="56"/>
        <v>96.694140023548584</v>
      </c>
    </row>
    <row r="356" spans="1:9" s="377" customFormat="1" ht="15.75" x14ac:dyDescent="0.25">
      <c r="A356" s="180" t="s">
        <v>263</v>
      </c>
      <c r="B356" s="392" t="s">
        <v>1556</v>
      </c>
      <c r="C356" s="392" t="s">
        <v>264</v>
      </c>
      <c r="D356" s="392"/>
      <c r="E356" s="392"/>
      <c r="F356" s="399"/>
      <c r="G356" s="10">
        <f>G357+G362</f>
        <v>298.10700000000003</v>
      </c>
      <c r="H356" s="10">
        <f>H357+H362</f>
        <v>288.25200000000001</v>
      </c>
      <c r="I356" s="389">
        <f t="shared" si="56"/>
        <v>96.694140023548584</v>
      </c>
    </row>
    <row r="357" spans="1:9" s="377" customFormat="1" ht="15.75" x14ac:dyDescent="0.25">
      <c r="A357" s="45" t="s">
        <v>404</v>
      </c>
      <c r="B357" s="392" t="s">
        <v>1556</v>
      </c>
      <c r="C357" s="392" t="s">
        <v>264</v>
      </c>
      <c r="D357" s="392" t="s">
        <v>118</v>
      </c>
      <c r="E357" s="392"/>
      <c r="F357" s="399"/>
      <c r="G357" s="10">
        <f t="shared" ref="G357:H359" si="59">G358</f>
        <v>9.8149999999999977</v>
      </c>
      <c r="H357" s="10">
        <f t="shared" si="59"/>
        <v>0</v>
      </c>
      <c r="I357" s="389">
        <f t="shared" si="56"/>
        <v>0</v>
      </c>
    </row>
    <row r="358" spans="1:9" s="377" customFormat="1" ht="31.5" x14ac:dyDescent="0.25">
      <c r="A358" s="267" t="s">
        <v>1555</v>
      </c>
      <c r="B358" s="392" t="s">
        <v>1557</v>
      </c>
      <c r="C358" s="392" t="s">
        <v>264</v>
      </c>
      <c r="D358" s="392" t="s">
        <v>118</v>
      </c>
      <c r="E358" s="392"/>
      <c r="F358" s="399"/>
      <c r="G358" s="10">
        <f t="shared" si="59"/>
        <v>9.8149999999999977</v>
      </c>
      <c r="H358" s="10">
        <f t="shared" si="59"/>
        <v>0</v>
      </c>
      <c r="I358" s="389">
        <f t="shared" si="56"/>
        <v>0</v>
      </c>
    </row>
    <row r="359" spans="1:9" s="377" customFormat="1" ht="31.5" x14ac:dyDescent="0.25">
      <c r="A359" s="31" t="s">
        <v>272</v>
      </c>
      <c r="B359" s="392" t="s">
        <v>1557</v>
      </c>
      <c r="C359" s="392" t="s">
        <v>264</v>
      </c>
      <c r="D359" s="392" t="s">
        <v>118</v>
      </c>
      <c r="E359" s="392" t="s">
        <v>273</v>
      </c>
      <c r="F359" s="399"/>
      <c r="G359" s="10">
        <f t="shared" si="59"/>
        <v>9.8149999999999977</v>
      </c>
      <c r="H359" s="10">
        <f t="shared" si="59"/>
        <v>0</v>
      </c>
      <c r="I359" s="389">
        <f t="shared" si="56"/>
        <v>0</v>
      </c>
    </row>
    <row r="360" spans="1:9" s="377" customFormat="1" ht="15.75" x14ac:dyDescent="0.25">
      <c r="A360" s="31" t="s">
        <v>274</v>
      </c>
      <c r="B360" s="392" t="s">
        <v>1557</v>
      </c>
      <c r="C360" s="392" t="s">
        <v>264</v>
      </c>
      <c r="D360" s="392" t="s">
        <v>118</v>
      </c>
      <c r="E360" s="392" t="s">
        <v>275</v>
      </c>
      <c r="F360" s="399"/>
      <c r="G360" s="10">
        <f>'Пр.4 ведом.21'!G683</f>
        <v>9.8149999999999977</v>
      </c>
      <c r="H360" s="10">
        <f>'Пр.4 ведом.21'!H683</f>
        <v>0</v>
      </c>
      <c r="I360" s="389">
        <f t="shared" si="56"/>
        <v>0</v>
      </c>
    </row>
    <row r="361" spans="1:9" s="377" customFormat="1" ht="31.5" x14ac:dyDescent="0.25">
      <c r="A361" s="29" t="s">
        <v>403</v>
      </c>
      <c r="B361" s="392" t="s">
        <v>1557</v>
      </c>
      <c r="C361" s="392" t="s">
        <v>264</v>
      </c>
      <c r="D361" s="392" t="s">
        <v>118</v>
      </c>
      <c r="E361" s="392" t="s">
        <v>275</v>
      </c>
      <c r="F361" s="399" t="s">
        <v>636</v>
      </c>
      <c r="G361" s="10">
        <f>G360</f>
        <v>9.8149999999999977</v>
      </c>
      <c r="H361" s="10">
        <f>H360</f>
        <v>0</v>
      </c>
      <c r="I361" s="389">
        <f t="shared" si="56"/>
        <v>0</v>
      </c>
    </row>
    <row r="362" spans="1:9" s="377" customFormat="1" ht="15.75" x14ac:dyDescent="0.25">
      <c r="A362" s="180" t="s">
        <v>425</v>
      </c>
      <c r="B362" s="392" t="s">
        <v>1557</v>
      </c>
      <c r="C362" s="392" t="s">
        <v>264</v>
      </c>
      <c r="D362" s="392" t="s">
        <v>213</v>
      </c>
      <c r="E362" s="392"/>
      <c r="F362" s="399"/>
      <c r="G362" s="10">
        <f t="shared" ref="G362:H364" si="60">G363</f>
        <v>288.29200000000003</v>
      </c>
      <c r="H362" s="10">
        <f t="shared" si="60"/>
        <v>288.25200000000001</v>
      </c>
      <c r="I362" s="389">
        <f t="shared" si="56"/>
        <v>99.986125178638318</v>
      </c>
    </row>
    <row r="363" spans="1:9" s="377" customFormat="1" ht="31.5" x14ac:dyDescent="0.25">
      <c r="A363" s="267" t="s">
        <v>1555</v>
      </c>
      <c r="B363" s="392" t="s">
        <v>1557</v>
      </c>
      <c r="C363" s="392" t="s">
        <v>264</v>
      </c>
      <c r="D363" s="392" t="s">
        <v>213</v>
      </c>
      <c r="E363" s="392"/>
      <c r="F363" s="399"/>
      <c r="G363" s="10">
        <f t="shared" si="60"/>
        <v>288.29200000000003</v>
      </c>
      <c r="H363" s="10">
        <f t="shared" si="60"/>
        <v>288.25200000000001</v>
      </c>
      <c r="I363" s="389">
        <f t="shared" si="56"/>
        <v>99.986125178638318</v>
      </c>
    </row>
    <row r="364" spans="1:9" s="377" customFormat="1" ht="31.5" x14ac:dyDescent="0.25">
      <c r="A364" s="31" t="s">
        <v>272</v>
      </c>
      <c r="B364" s="392" t="s">
        <v>1557</v>
      </c>
      <c r="C364" s="392" t="s">
        <v>264</v>
      </c>
      <c r="D364" s="392" t="s">
        <v>213</v>
      </c>
      <c r="E364" s="392" t="s">
        <v>273</v>
      </c>
      <c r="F364" s="399"/>
      <c r="G364" s="10">
        <f t="shared" si="60"/>
        <v>288.29200000000003</v>
      </c>
      <c r="H364" s="10">
        <f t="shared" si="60"/>
        <v>288.25200000000001</v>
      </c>
      <c r="I364" s="389">
        <f t="shared" si="56"/>
        <v>99.986125178638318</v>
      </c>
    </row>
    <row r="365" spans="1:9" s="377" customFormat="1" ht="15.75" x14ac:dyDescent="0.25">
      <c r="A365" s="31" t="s">
        <v>274</v>
      </c>
      <c r="B365" s="392" t="s">
        <v>1557</v>
      </c>
      <c r="C365" s="392" t="s">
        <v>264</v>
      </c>
      <c r="D365" s="392" t="s">
        <v>213</v>
      </c>
      <c r="E365" s="392" t="s">
        <v>275</v>
      </c>
      <c r="F365" s="399"/>
      <c r="G365" s="10">
        <f>'Пр.4 ведом.21'!G770</f>
        <v>288.29200000000003</v>
      </c>
      <c r="H365" s="10">
        <f>'Пр.4 ведом.21'!H770</f>
        <v>288.25200000000001</v>
      </c>
      <c r="I365" s="389">
        <f t="shared" si="56"/>
        <v>99.986125178638318</v>
      </c>
    </row>
    <row r="366" spans="1:9" s="377" customFormat="1" ht="31.5" x14ac:dyDescent="0.25">
      <c r="A366" s="29" t="s">
        <v>403</v>
      </c>
      <c r="B366" s="392" t="s">
        <v>1557</v>
      </c>
      <c r="C366" s="392" t="s">
        <v>264</v>
      </c>
      <c r="D366" s="392" t="s">
        <v>213</v>
      </c>
      <c r="E366" s="392" t="s">
        <v>275</v>
      </c>
      <c r="F366" s="399" t="s">
        <v>636</v>
      </c>
      <c r="G366" s="10">
        <f>G365</f>
        <v>288.29200000000003</v>
      </c>
      <c r="H366" s="10">
        <f>H365</f>
        <v>288.25200000000001</v>
      </c>
      <c r="I366" s="389">
        <f t="shared" si="56"/>
        <v>99.986125178638318</v>
      </c>
    </row>
    <row r="367" spans="1:9" s="387" customFormat="1" ht="47.25" x14ac:dyDescent="0.25">
      <c r="A367" s="268" t="s">
        <v>1559</v>
      </c>
      <c r="B367" s="395" t="s">
        <v>1562</v>
      </c>
      <c r="C367" s="395"/>
      <c r="D367" s="395"/>
      <c r="E367" s="395"/>
      <c r="F367" s="7"/>
      <c r="G367" s="59">
        <f t="shared" ref="G367:H371" si="61">G368</f>
        <v>2606.89</v>
      </c>
      <c r="H367" s="59">
        <f t="shared" si="61"/>
        <v>2352.38</v>
      </c>
      <c r="I367" s="492">
        <f t="shared" si="56"/>
        <v>90.237025727974725</v>
      </c>
    </row>
    <row r="368" spans="1:9" s="387" customFormat="1" ht="15.75" x14ac:dyDescent="0.25">
      <c r="A368" s="180" t="s">
        <v>263</v>
      </c>
      <c r="B368" s="392" t="s">
        <v>1562</v>
      </c>
      <c r="C368" s="392" t="s">
        <v>264</v>
      </c>
      <c r="D368" s="392"/>
      <c r="E368" s="392"/>
      <c r="F368" s="399"/>
      <c r="G368" s="10">
        <f t="shared" si="61"/>
        <v>2606.89</v>
      </c>
      <c r="H368" s="10">
        <f t="shared" si="61"/>
        <v>2352.38</v>
      </c>
      <c r="I368" s="389">
        <f t="shared" si="56"/>
        <v>90.237025727974725</v>
      </c>
    </row>
    <row r="369" spans="1:9" s="387" customFormat="1" ht="15.75" x14ac:dyDescent="0.25">
      <c r="A369" s="45" t="s">
        <v>404</v>
      </c>
      <c r="B369" s="392" t="s">
        <v>1562</v>
      </c>
      <c r="C369" s="392" t="s">
        <v>264</v>
      </c>
      <c r="D369" s="392" t="s">
        <v>118</v>
      </c>
      <c r="E369" s="392"/>
      <c r="F369" s="399"/>
      <c r="G369" s="10">
        <f t="shared" si="61"/>
        <v>2606.89</v>
      </c>
      <c r="H369" s="10">
        <f t="shared" si="61"/>
        <v>2352.38</v>
      </c>
      <c r="I369" s="389">
        <f t="shared" si="56"/>
        <v>90.237025727974725</v>
      </c>
    </row>
    <row r="370" spans="1:9" s="387" customFormat="1" ht="47.25" x14ac:dyDescent="0.25">
      <c r="A370" s="267" t="s">
        <v>1560</v>
      </c>
      <c r="B370" s="392" t="s">
        <v>1561</v>
      </c>
      <c r="C370" s="392" t="s">
        <v>264</v>
      </c>
      <c r="D370" s="392" t="s">
        <v>118</v>
      </c>
      <c r="E370" s="392"/>
      <c r="F370" s="399"/>
      <c r="G370" s="10">
        <f>G371</f>
        <v>2606.89</v>
      </c>
      <c r="H370" s="10">
        <f>H371</f>
        <v>2352.38</v>
      </c>
      <c r="I370" s="389">
        <f t="shared" si="56"/>
        <v>90.237025727974725</v>
      </c>
    </row>
    <row r="371" spans="1:9" s="387" customFormat="1" ht="31.5" x14ac:dyDescent="0.25">
      <c r="A371" s="31" t="s">
        <v>272</v>
      </c>
      <c r="B371" s="392" t="s">
        <v>1561</v>
      </c>
      <c r="C371" s="392" t="s">
        <v>264</v>
      </c>
      <c r="D371" s="392" t="s">
        <v>118</v>
      </c>
      <c r="E371" s="392" t="s">
        <v>273</v>
      </c>
      <c r="F371" s="399"/>
      <c r="G371" s="10">
        <f t="shared" si="61"/>
        <v>2606.89</v>
      </c>
      <c r="H371" s="10">
        <f t="shared" si="61"/>
        <v>2352.38</v>
      </c>
      <c r="I371" s="389">
        <f t="shared" si="56"/>
        <v>90.237025727974725</v>
      </c>
    </row>
    <row r="372" spans="1:9" s="387" customFormat="1" ht="15.75" x14ac:dyDescent="0.25">
      <c r="A372" s="31" t="s">
        <v>274</v>
      </c>
      <c r="B372" s="392" t="s">
        <v>1561</v>
      </c>
      <c r="C372" s="392" t="s">
        <v>264</v>
      </c>
      <c r="D372" s="392" t="s">
        <v>118</v>
      </c>
      <c r="E372" s="392" t="s">
        <v>275</v>
      </c>
      <c r="F372" s="399"/>
      <c r="G372" s="10">
        <f>'Пр.4 ведом.21'!G687</f>
        <v>2606.89</v>
      </c>
      <c r="H372" s="10">
        <f>'Пр.4 ведом.21'!H687</f>
        <v>2352.38</v>
      </c>
      <c r="I372" s="389">
        <f t="shared" si="56"/>
        <v>90.237025727974725</v>
      </c>
    </row>
    <row r="373" spans="1:9" s="387" customFormat="1" ht="31.5" x14ac:dyDescent="0.25">
      <c r="A373" s="29" t="s">
        <v>403</v>
      </c>
      <c r="B373" s="392" t="s">
        <v>1561</v>
      </c>
      <c r="C373" s="392" t="s">
        <v>264</v>
      </c>
      <c r="D373" s="392" t="s">
        <v>118</v>
      </c>
      <c r="E373" s="392" t="s">
        <v>275</v>
      </c>
      <c r="F373" s="399" t="s">
        <v>636</v>
      </c>
      <c r="G373" s="10">
        <f>G372</f>
        <v>2606.89</v>
      </c>
      <c r="H373" s="10">
        <f>H372</f>
        <v>2352.38</v>
      </c>
      <c r="I373" s="389">
        <f t="shared" si="56"/>
        <v>90.237025727974725</v>
      </c>
    </row>
    <row r="374" spans="1:9" s="387" customFormat="1" ht="47.25" x14ac:dyDescent="0.25">
      <c r="A374" s="34" t="s">
        <v>1639</v>
      </c>
      <c r="B374" s="395" t="s">
        <v>1640</v>
      </c>
      <c r="C374" s="392"/>
      <c r="D374" s="392"/>
      <c r="E374" s="392"/>
      <c r="F374" s="399"/>
      <c r="G374" s="59">
        <f t="shared" ref="G374:H378" si="62">G375</f>
        <v>324.92500000000001</v>
      </c>
      <c r="H374" s="59">
        <f t="shared" si="62"/>
        <v>0</v>
      </c>
      <c r="I374" s="492">
        <f t="shared" si="56"/>
        <v>0</v>
      </c>
    </row>
    <row r="375" spans="1:9" s="387" customFormat="1" ht="15.75" x14ac:dyDescent="0.25">
      <c r="A375" s="180" t="s">
        <v>263</v>
      </c>
      <c r="B375" s="392" t="s">
        <v>1640</v>
      </c>
      <c r="C375" s="392" t="s">
        <v>264</v>
      </c>
      <c r="D375" s="392"/>
      <c r="E375" s="392"/>
      <c r="F375" s="399"/>
      <c r="G375" s="10">
        <f t="shared" si="62"/>
        <v>324.92500000000001</v>
      </c>
      <c r="H375" s="10">
        <f t="shared" si="62"/>
        <v>0</v>
      </c>
      <c r="I375" s="389">
        <f t="shared" si="56"/>
        <v>0</v>
      </c>
    </row>
    <row r="376" spans="1:9" s="387" customFormat="1" ht="15.75" x14ac:dyDescent="0.25">
      <c r="A376" s="29" t="s">
        <v>265</v>
      </c>
      <c r="B376" s="392" t="s">
        <v>1640</v>
      </c>
      <c r="C376" s="392" t="s">
        <v>264</v>
      </c>
      <c r="D376" s="392" t="s">
        <v>215</v>
      </c>
      <c r="E376" s="392"/>
      <c r="F376" s="399"/>
      <c r="G376" s="10">
        <f t="shared" si="62"/>
        <v>324.92500000000001</v>
      </c>
      <c r="H376" s="10">
        <f t="shared" si="62"/>
        <v>0</v>
      </c>
      <c r="I376" s="389">
        <f t="shared" si="56"/>
        <v>0</v>
      </c>
    </row>
    <row r="377" spans="1:9" s="387" customFormat="1" ht="31.5" x14ac:dyDescent="0.25">
      <c r="A377" s="31" t="s">
        <v>1653</v>
      </c>
      <c r="B377" s="392" t="s">
        <v>1641</v>
      </c>
      <c r="C377" s="392" t="s">
        <v>264</v>
      </c>
      <c r="D377" s="392" t="s">
        <v>215</v>
      </c>
      <c r="E377" s="392"/>
      <c r="F377" s="399"/>
      <c r="G377" s="10">
        <f t="shared" si="62"/>
        <v>324.92500000000001</v>
      </c>
      <c r="H377" s="10">
        <f t="shared" si="62"/>
        <v>0</v>
      </c>
      <c r="I377" s="389">
        <f t="shared" si="56"/>
        <v>0</v>
      </c>
    </row>
    <row r="378" spans="1:9" s="387" customFormat="1" ht="31.5" x14ac:dyDescent="0.25">
      <c r="A378" s="396" t="s">
        <v>272</v>
      </c>
      <c r="B378" s="392" t="s">
        <v>1641</v>
      </c>
      <c r="C378" s="392" t="s">
        <v>264</v>
      </c>
      <c r="D378" s="392" t="s">
        <v>215</v>
      </c>
      <c r="E378" s="392" t="s">
        <v>273</v>
      </c>
      <c r="F378" s="399"/>
      <c r="G378" s="10">
        <f t="shared" si="62"/>
        <v>324.92500000000001</v>
      </c>
      <c r="H378" s="10">
        <f t="shared" si="62"/>
        <v>0</v>
      </c>
      <c r="I378" s="389">
        <f t="shared" si="56"/>
        <v>0</v>
      </c>
    </row>
    <row r="379" spans="1:9" s="387" customFormat="1" ht="31.5" x14ac:dyDescent="0.25">
      <c r="A379" s="31" t="s">
        <v>1642</v>
      </c>
      <c r="B379" s="392" t="s">
        <v>1641</v>
      </c>
      <c r="C379" s="392" t="s">
        <v>264</v>
      </c>
      <c r="D379" s="392" t="s">
        <v>215</v>
      </c>
      <c r="E379" s="392" t="s">
        <v>275</v>
      </c>
      <c r="F379" s="399"/>
      <c r="G379" s="10">
        <f>'Пр.4 ведом.21'!G822</f>
        <v>324.92500000000001</v>
      </c>
      <c r="H379" s="10">
        <f>'Пр.4 ведом.21'!H822</f>
        <v>0</v>
      </c>
      <c r="I379" s="389">
        <f t="shared" si="56"/>
        <v>0</v>
      </c>
    </row>
    <row r="380" spans="1:9" s="387" customFormat="1" ht="31.5" x14ac:dyDescent="0.25">
      <c r="A380" s="29" t="s">
        <v>403</v>
      </c>
      <c r="B380" s="392" t="s">
        <v>1641</v>
      </c>
      <c r="C380" s="392" t="s">
        <v>264</v>
      </c>
      <c r="D380" s="392" t="s">
        <v>215</v>
      </c>
      <c r="E380" s="392" t="s">
        <v>275</v>
      </c>
      <c r="F380" s="399" t="s">
        <v>636</v>
      </c>
      <c r="G380" s="10">
        <f>G379</f>
        <v>324.92500000000001</v>
      </c>
      <c r="H380" s="10">
        <f>H379</f>
        <v>0</v>
      </c>
      <c r="I380" s="389">
        <f t="shared" si="56"/>
        <v>0</v>
      </c>
    </row>
    <row r="381" spans="1:9" s="191" customFormat="1" ht="48.2" customHeight="1" x14ac:dyDescent="0.25">
      <c r="A381" s="201" t="s">
        <v>1170</v>
      </c>
      <c r="B381" s="395" t="s">
        <v>1318</v>
      </c>
      <c r="C381" s="399"/>
      <c r="D381" s="399"/>
      <c r="E381" s="399"/>
      <c r="F381" s="399"/>
      <c r="G381" s="59">
        <f t="shared" ref="G381:H385" si="63">G382</f>
        <v>1555.65</v>
      </c>
      <c r="H381" s="59">
        <f t="shared" si="63"/>
        <v>1554.9929999999999</v>
      </c>
      <c r="I381" s="492">
        <f t="shared" si="56"/>
        <v>99.957766849869827</v>
      </c>
    </row>
    <row r="382" spans="1:9" s="191" customFormat="1" ht="15" customHeight="1" x14ac:dyDescent="0.25">
      <c r="A382" s="29" t="s">
        <v>263</v>
      </c>
      <c r="B382" s="392" t="s">
        <v>1318</v>
      </c>
      <c r="C382" s="399" t="s">
        <v>264</v>
      </c>
      <c r="D382" s="399"/>
      <c r="E382" s="399"/>
      <c r="F382" s="399"/>
      <c r="G382" s="10">
        <f t="shared" si="63"/>
        <v>1555.65</v>
      </c>
      <c r="H382" s="10">
        <f t="shared" si="63"/>
        <v>1554.9929999999999</v>
      </c>
      <c r="I382" s="389">
        <f t="shared" si="56"/>
        <v>99.957766849869827</v>
      </c>
    </row>
    <row r="383" spans="1:9" s="191" customFormat="1" ht="19.5" customHeight="1" x14ac:dyDescent="0.25">
      <c r="A383" s="29" t="s">
        <v>425</v>
      </c>
      <c r="B383" s="392" t="s">
        <v>1318</v>
      </c>
      <c r="C383" s="399" t="s">
        <v>264</v>
      </c>
      <c r="D383" s="399" t="s">
        <v>213</v>
      </c>
      <c r="E383" s="399"/>
      <c r="F383" s="399"/>
      <c r="G383" s="10">
        <f t="shared" si="63"/>
        <v>1555.65</v>
      </c>
      <c r="H383" s="10">
        <f t="shared" si="63"/>
        <v>1554.9929999999999</v>
      </c>
      <c r="I383" s="389">
        <f t="shared" si="56"/>
        <v>99.957766849869827</v>
      </c>
    </row>
    <row r="384" spans="1:9" s="191" customFormat="1" ht="62.45" customHeight="1" x14ac:dyDescent="0.25">
      <c r="A384" s="180" t="s">
        <v>1505</v>
      </c>
      <c r="B384" s="392" t="s">
        <v>1319</v>
      </c>
      <c r="C384" s="399" t="s">
        <v>264</v>
      </c>
      <c r="D384" s="399" t="s">
        <v>213</v>
      </c>
      <c r="E384" s="399"/>
      <c r="F384" s="399"/>
      <c r="G384" s="10">
        <f t="shared" si="63"/>
        <v>1555.65</v>
      </c>
      <c r="H384" s="10">
        <f t="shared" si="63"/>
        <v>1554.9929999999999</v>
      </c>
      <c r="I384" s="389">
        <f t="shared" si="56"/>
        <v>99.957766849869827</v>
      </c>
    </row>
    <row r="385" spans="1:9" s="191" customFormat="1" ht="33.75" customHeight="1" x14ac:dyDescent="0.25">
      <c r="A385" s="31" t="s">
        <v>272</v>
      </c>
      <c r="B385" s="392" t="s">
        <v>1319</v>
      </c>
      <c r="C385" s="399" t="s">
        <v>264</v>
      </c>
      <c r="D385" s="399" t="s">
        <v>213</v>
      </c>
      <c r="E385" s="399" t="s">
        <v>273</v>
      </c>
      <c r="F385" s="399"/>
      <c r="G385" s="10">
        <f t="shared" si="63"/>
        <v>1555.65</v>
      </c>
      <c r="H385" s="10">
        <f t="shared" si="63"/>
        <v>1554.9929999999999</v>
      </c>
      <c r="I385" s="389">
        <f t="shared" si="56"/>
        <v>99.957766849869827</v>
      </c>
    </row>
    <row r="386" spans="1:9" s="191" customFormat="1" ht="21.2" customHeight="1" x14ac:dyDescent="0.25">
      <c r="A386" s="31" t="s">
        <v>274</v>
      </c>
      <c r="B386" s="392" t="s">
        <v>1319</v>
      </c>
      <c r="C386" s="399" t="s">
        <v>264</v>
      </c>
      <c r="D386" s="399" t="s">
        <v>213</v>
      </c>
      <c r="E386" s="399" t="s">
        <v>275</v>
      </c>
      <c r="F386" s="399"/>
      <c r="G386" s="10">
        <f>'Пр.4 ведом.21'!G774</f>
        <v>1555.65</v>
      </c>
      <c r="H386" s="10">
        <f>'Пр.4 ведом.21'!H774</f>
        <v>1554.9929999999999</v>
      </c>
      <c r="I386" s="389">
        <f t="shared" si="56"/>
        <v>99.957766849869827</v>
      </c>
    </row>
    <row r="387" spans="1:9" s="191" customFormat="1" ht="31.7" customHeight="1" x14ac:dyDescent="0.25">
      <c r="A387" s="29" t="s">
        <v>403</v>
      </c>
      <c r="B387" s="392" t="s">
        <v>1319</v>
      </c>
      <c r="C387" s="399" t="s">
        <v>264</v>
      </c>
      <c r="D387" s="399" t="s">
        <v>213</v>
      </c>
      <c r="E387" s="399" t="s">
        <v>275</v>
      </c>
      <c r="F387" s="399" t="s">
        <v>636</v>
      </c>
      <c r="G387" s="10">
        <f>G381</f>
        <v>1555.65</v>
      </c>
      <c r="H387" s="10">
        <f>H381</f>
        <v>1554.9929999999999</v>
      </c>
      <c r="I387" s="389">
        <f t="shared" si="56"/>
        <v>99.957766849869827</v>
      </c>
    </row>
    <row r="388" spans="1:9" s="191" customFormat="1" ht="31.7" customHeight="1" x14ac:dyDescent="0.25">
      <c r="A388" s="34" t="s">
        <v>1448</v>
      </c>
      <c r="B388" s="395" t="s">
        <v>1449</v>
      </c>
      <c r="C388" s="399"/>
      <c r="D388" s="399"/>
      <c r="E388" s="399"/>
      <c r="F388" s="399"/>
      <c r="G388" s="59">
        <f t="shared" ref="G388:H392" si="64">G389</f>
        <v>2691.645</v>
      </c>
      <c r="H388" s="59">
        <f t="shared" si="64"/>
        <v>2691.6210000000001</v>
      </c>
      <c r="I388" s="492">
        <f t="shared" si="56"/>
        <v>99.999108351955783</v>
      </c>
    </row>
    <row r="389" spans="1:9" s="191" customFormat="1" ht="15.75" x14ac:dyDescent="0.25">
      <c r="A389" s="29" t="s">
        <v>263</v>
      </c>
      <c r="B389" s="392" t="s">
        <v>1449</v>
      </c>
      <c r="C389" s="399" t="s">
        <v>264</v>
      </c>
      <c r="D389" s="399"/>
      <c r="E389" s="399"/>
      <c r="F389" s="399"/>
      <c r="G389" s="10">
        <f t="shared" si="64"/>
        <v>2691.645</v>
      </c>
      <c r="H389" s="10">
        <f t="shared" si="64"/>
        <v>2691.6210000000001</v>
      </c>
      <c r="I389" s="389">
        <f t="shared" si="56"/>
        <v>99.999108351955783</v>
      </c>
    </row>
    <row r="390" spans="1:9" s="191" customFormat="1" ht="15.75" x14ac:dyDescent="0.25">
      <c r="A390" s="29" t="s">
        <v>425</v>
      </c>
      <c r="B390" s="392" t="s">
        <v>1449</v>
      </c>
      <c r="C390" s="399" t="s">
        <v>264</v>
      </c>
      <c r="D390" s="399" t="s">
        <v>213</v>
      </c>
      <c r="E390" s="399"/>
      <c r="F390" s="399"/>
      <c r="G390" s="10">
        <f t="shared" si="64"/>
        <v>2691.645</v>
      </c>
      <c r="H390" s="10">
        <f t="shared" si="64"/>
        <v>2691.6210000000001</v>
      </c>
      <c r="I390" s="389">
        <f t="shared" si="56"/>
        <v>99.999108351955783</v>
      </c>
    </row>
    <row r="391" spans="1:9" s="191" customFormat="1" ht="57.75" customHeight="1" x14ac:dyDescent="0.25">
      <c r="A391" s="31" t="s">
        <v>1506</v>
      </c>
      <c r="B391" s="392" t="s">
        <v>1450</v>
      </c>
      <c r="C391" s="399" t="s">
        <v>264</v>
      </c>
      <c r="D391" s="399" t="s">
        <v>213</v>
      </c>
      <c r="E391" s="399"/>
      <c r="F391" s="399"/>
      <c r="G391" s="10">
        <f t="shared" si="64"/>
        <v>2691.645</v>
      </c>
      <c r="H391" s="10">
        <f t="shared" si="64"/>
        <v>2691.6210000000001</v>
      </c>
      <c r="I391" s="389">
        <f t="shared" si="56"/>
        <v>99.999108351955783</v>
      </c>
    </row>
    <row r="392" spans="1:9" s="191" customFormat="1" ht="31.7" customHeight="1" x14ac:dyDescent="0.25">
      <c r="A392" s="31" t="s">
        <v>272</v>
      </c>
      <c r="B392" s="392" t="s">
        <v>1450</v>
      </c>
      <c r="C392" s="399" t="s">
        <v>264</v>
      </c>
      <c r="D392" s="399" t="s">
        <v>213</v>
      </c>
      <c r="E392" s="399" t="s">
        <v>273</v>
      </c>
      <c r="F392" s="399"/>
      <c r="G392" s="10">
        <f t="shared" si="64"/>
        <v>2691.645</v>
      </c>
      <c r="H392" s="10">
        <f t="shared" si="64"/>
        <v>2691.6210000000001</v>
      </c>
      <c r="I392" s="389">
        <f t="shared" si="56"/>
        <v>99.999108351955783</v>
      </c>
    </row>
    <row r="393" spans="1:9" s="191" customFormat="1" ht="31.7" customHeight="1" x14ac:dyDescent="0.25">
      <c r="A393" s="31" t="s">
        <v>274</v>
      </c>
      <c r="B393" s="392" t="s">
        <v>1450</v>
      </c>
      <c r="C393" s="399" t="s">
        <v>264</v>
      </c>
      <c r="D393" s="399" t="s">
        <v>213</v>
      </c>
      <c r="E393" s="399" t="s">
        <v>275</v>
      </c>
      <c r="F393" s="399"/>
      <c r="G393" s="10">
        <f>'Пр.4 ведом.21'!G778</f>
        <v>2691.645</v>
      </c>
      <c r="H393" s="10">
        <f>'Пр.4 ведом.21'!H778</f>
        <v>2691.6210000000001</v>
      </c>
      <c r="I393" s="389">
        <f t="shared" si="56"/>
        <v>99.999108351955783</v>
      </c>
    </row>
    <row r="394" spans="1:9" s="191" customFormat="1" ht="31.7" customHeight="1" x14ac:dyDescent="0.25">
      <c r="A394" s="29" t="s">
        <v>403</v>
      </c>
      <c r="B394" s="392" t="s">
        <v>1450</v>
      </c>
      <c r="C394" s="399" t="s">
        <v>264</v>
      </c>
      <c r="D394" s="399" t="s">
        <v>213</v>
      </c>
      <c r="E394" s="399" t="s">
        <v>275</v>
      </c>
      <c r="F394" s="399" t="s">
        <v>636</v>
      </c>
      <c r="G394" s="10">
        <f>G388</f>
        <v>2691.645</v>
      </c>
      <c r="H394" s="10">
        <f>H388</f>
        <v>2691.6210000000001</v>
      </c>
      <c r="I394" s="389">
        <f t="shared" si="56"/>
        <v>99.999108351955783</v>
      </c>
    </row>
    <row r="395" spans="1:9" ht="47.25" x14ac:dyDescent="0.25">
      <c r="A395" s="58" t="s">
        <v>1383</v>
      </c>
      <c r="B395" s="187" t="s">
        <v>156</v>
      </c>
      <c r="C395" s="7"/>
      <c r="D395" s="187"/>
      <c r="E395" s="187"/>
      <c r="F395" s="187"/>
      <c r="G395" s="59">
        <f>G397</f>
        <v>100</v>
      </c>
      <c r="H395" s="59">
        <f>H397</f>
        <v>100</v>
      </c>
      <c r="I395" s="492">
        <f t="shared" si="56"/>
        <v>100</v>
      </c>
    </row>
    <row r="396" spans="1:9" s="191" customFormat="1" ht="36.75" customHeight="1" x14ac:dyDescent="0.25">
      <c r="A396" s="394" t="s">
        <v>1065</v>
      </c>
      <c r="B396" s="395" t="s">
        <v>1062</v>
      </c>
      <c r="C396" s="7"/>
      <c r="D396" s="7"/>
      <c r="E396" s="7"/>
      <c r="F396" s="7"/>
      <c r="G396" s="59">
        <f t="shared" ref="G396:H400" si="65">G397</f>
        <v>100</v>
      </c>
      <c r="H396" s="59">
        <f t="shared" si="65"/>
        <v>100</v>
      </c>
      <c r="I396" s="492">
        <f t="shared" si="56"/>
        <v>100</v>
      </c>
    </row>
    <row r="397" spans="1:9" ht="15.75" x14ac:dyDescent="0.25">
      <c r="A397" s="45" t="s">
        <v>232</v>
      </c>
      <c r="B397" s="5" t="s">
        <v>1062</v>
      </c>
      <c r="C397" s="399" t="s">
        <v>150</v>
      </c>
      <c r="D397" s="399"/>
      <c r="E397" s="399"/>
      <c r="F397" s="399"/>
      <c r="G397" s="10">
        <f t="shared" si="65"/>
        <v>100</v>
      </c>
      <c r="H397" s="10">
        <f t="shared" si="65"/>
        <v>100</v>
      </c>
      <c r="I397" s="389">
        <f t="shared" si="56"/>
        <v>100</v>
      </c>
    </row>
    <row r="398" spans="1:9" ht="15.75" x14ac:dyDescent="0.25">
      <c r="A398" s="45" t="s">
        <v>775</v>
      </c>
      <c r="B398" s="5" t="s">
        <v>1062</v>
      </c>
      <c r="C398" s="399" t="s">
        <v>150</v>
      </c>
      <c r="D398" s="399" t="s">
        <v>238</v>
      </c>
      <c r="E398" s="399"/>
      <c r="F398" s="399"/>
      <c r="G398" s="10">
        <f t="shared" si="65"/>
        <v>100</v>
      </c>
      <c r="H398" s="10">
        <f t="shared" si="65"/>
        <v>100</v>
      </c>
      <c r="I398" s="389">
        <f t="shared" si="56"/>
        <v>100</v>
      </c>
    </row>
    <row r="399" spans="1:9" ht="31.5" x14ac:dyDescent="0.25">
      <c r="A399" s="396" t="s">
        <v>1066</v>
      </c>
      <c r="B399" s="392" t="s">
        <v>1063</v>
      </c>
      <c r="C399" s="399" t="s">
        <v>150</v>
      </c>
      <c r="D399" s="399" t="s">
        <v>238</v>
      </c>
      <c r="E399" s="399"/>
      <c r="F399" s="399"/>
      <c r="G399" s="10">
        <f t="shared" si="65"/>
        <v>100</v>
      </c>
      <c r="H399" s="10">
        <f t="shared" si="65"/>
        <v>100</v>
      </c>
      <c r="I399" s="389">
        <f t="shared" si="56"/>
        <v>100</v>
      </c>
    </row>
    <row r="400" spans="1:9" ht="15.75" x14ac:dyDescent="0.25">
      <c r="A400" s="396" t="s">
        <v>135</v>
      </c>
      <c r="B400" s="392" t="s">
        <v>1063</v>
      </c>
      <c r="C400" s="399" t="s">
        <v>150</v>
      </c>
      <c r="D400" s="399" t="s">
        <v>238</v>
      </c>
      <c r="E400" s="399" t="s">
        <v>132</v>
      </c>
      <c r="F400" s="399"/>
      <c r="G400" s="10">
        <f t="shared" si="65"/>
        <v>100</v>
      </c>
      <c r="H400" s="10">
        <f t="shared" si="65"/>
        <v>100</v>
      </c>
      <c r="I400" s="389">
        <f t="shared" si="56"/>
        <v>100</v>
      </c>
    </row>
    <row r="401" spans="1:9" ht="47.25" x14ac:dyDescent="0.25">
      <c r="A401" s="396" t="s">
        <v>184</v>
      </c>
      <c r="B401" s="392" t="s">
        <v>1063</v>
      </c>
      <c r="C401" s="399" t="s">
        <v>150</v>
      </c>
      <c r="D401" s="399" t="s">
        <v>238</v>
      </c>
      <c r="E401" s="399" t="s">
        <v>134</v>
      </c>
      <c r="F401" s="399"/>
      <c r="G401" s="10">
        <f>'Пр.3 Рд,пр, ЦС,ВР 21'!F350</f>
        <v>100</v>
      </c>
      <c r="H401" s="10">
        <f>'Пр.3 Рд,пр, ЦС,ВР 21'!G350</f>
        <v>100</v>
      </c>
      <c r="I401" s="389">
        <f t="shared" ref="I401:I464" si="66">H401/G401*100</f>
        <v>100</v>
      </c>
    </row>
    <row r="402" spans="1:9" s="191" customFormat="1" ht="15.75" x14ac:dyDescent="0.25">
      <c r="A402" s="29" t="s">
        <v>148</v>
      </c>
      <c r="B402" s="392" t="s">
        <v>1063</v>
      </c>
      <c r="C402" s="399" t="s">
        <v>150</v>
      </c>
      <c r="D402" s="399" t="s">
        <v>238</v>
      </c>
      <c r="E402" s="399" t="s">
        <v>134</v>
      </c>
      <c r="F402" s="399" t="s">
        <v>641</v>
      </c>
      <c r="G402" s="10">
        <f>G401</f>
        <v>100</v>
      </c>
      <c r="H402" s="10">
        <f>H401</f>
        <v>100</v>
      </c>
      <c r="I402" s="389">
        <f t="shared" si="66"/>
        <v>100</v>
      </c>
    </row>
    <row r="403" spans="1:9" ht="45.75" customHeight="1" x14ac:dyDescent="0.25">
      <c r="A403" s="400" t="s">
        <v>1363</v>
      </c>
      <c r="B403" s="187" t="s">
        <v>162</v>
      </c>
      <c r="C403" s="7"/>
      <c r="D403" s="7"/>
      <c r="E403" s="7"/>
      <c r="F403" s="7"/>
      <c r="G403" s="59">
        <f>G404+G411+G430</f>
        <v>624.54</v>
      </c>
      <c r="H403" s="59">
        <f>H404+H411+H430</f>
        <v>622.14200000000005</v>
      </c>
      <c r="I403" s="492">
        <f t="shared" si="66"/>
        <v>99.616037403529006</v>
      </c>
    </row>
    <row r="404" spans="1:9" s="191" customFormat="1" ht="67.7" customHeight="1" x14ac:dyDescent="0.25">
      <c r="A404" s="269" t="s">
        <v>1338</v>
      </c>
      <c r="B404" s="7" t="s">
        <v>848</v>
      </c>
      <c r="C404" s="7"/>
      <c r="D404" s="8"/>
      <c r="E404" s="187"/>
      <c r="F404" s="7"/>
      <c r="G404" s="59">
        <f>G406</f>
        <v>426</v>
      </c>
      <c r="H404" s="59">
        <f>H406</f>
        <v>425.79300000000001</v>
      </c>
      <c r="I404" s="492">
        <f t="shared" si="66"/>
        <v>99.951408450704221</v>
      </c>
    </row>
    <row r="405" spans="1:9" s="191" customFormat="1" ht="15.75" customHeight="1" x14ac:dyDescent="0.25">
      <c r="A405" s="45" t="s">
        <v>117</v>
      </c>
      <c r="B405" s="5" t="s">
        <v>848</v>
      </c>
      <c r="C405" s="399" t="s">
        <v>118</v>
      </c>
      <c r="D405" s="5"/>
      <c r="E405" s="5"/>
      <c r="F405" s="399"/>
      <c r="G405" s="10">
        <f t="shared" ref="G405:H405" si="67">G406</f>
        <v>426</v>
      </c>
      <c r="H405" s="10">
        <f t="shared" si="67"/>
        <v>425.79300000000001</v>
      </c>
      <c r="I405" s="389">
        <f t="shared" si="66"/>
        <v>99.951408450704221</v>
      </c>
    </row>
    <row r="406" spans="1:9" s="191" customFormat="1" ht="45.75" customHeight="1" x14ac:dyDescent="0.25">
      <c r="A406" s="29" t="s">
        <v>149</v>
      </c>
      <c r="B406" s="5" t="s">
        <v>848</v>
      </c>
      <c r="C406" s="399" t="s">
        <v>118</v>
      </c>
      <c r="D406" s="9" t="s">
        <v>150</v>
      </c>
      <c r="E406" s="5"/>
      <c r="F406" s="399"/>
      <c r="G406" s="10">
        <f>G407</f>
        <v>426</v>
      </c>
      <c r="H406" s="10">
        <f>H407</f>
        <v>425.79300000000001</v>
      </c>
      <c r="I406" s="389">
        <f t="shared" si="66"/>
        <v>99.951408450704221</v>
      </c>
    </row>
    <row r="407" spans="1:9" s="191" customFormat="1" ht="62.45" customHeight="1" x14ac:dyDescent="0.25">
      <c r="A407" s="29" t="s">
        <v>1306</v>
      </c>
      <c r="B407" s="399" t="s">
        <v>840</v>
      </c>
      <c r="C407" s="399" t="s">
        <v>118</v>
      </c>
      <c r="D407" s="9" t="s">
        <v>150</v>
      </c>
      <c r="E407" s="399"/>
      <c r="F407" s="399"/>
      <c r="G407" s="10">
        <f t="shared" ref="G407:H408" si="68">G408</f>
        <v>426</v>
      </c>
      <c r="H407" s="10">
        <f t="shared" si="68"/>
        <v>425.79300000000001</v>
      </c>
      <c r="I407" s="389">
        <f t="shared" si="66"/>
        <v>99.951408450704221</v>
      </c>
    </row>
    <row r="408" spans="1:9" s="191" customFormat="1" ht="34.5" customHeight="1" x14ac:dyDescent="0.25">
      <c r="A408" s="29" t="s">
        <v>131</v>
      </c>
      <c r="B408" s="399" t="s">
        <v>840</v>
      </c>
      <c r="C408" s="399" t="s">
        <v>118</v>
      </c>
      <c r="D408" s="9" t="s">
        <v>150</v>
      </c>
      <c r="E408" s="399" t="s">
        <v>132</v>
      </c>
      <c r="F408" s="399"/>
      <c r="G408" s="10">
        <f t="shared" si="68"/>
        <v>426</v>
      </c>
      <c r="H408" s="10">
        <f t="shared" si="68"/>
        <v>425.79300000000001</v>
      </c>
      <c r="I408" s="389">
        <f t="shared" si="66"/>
        <v>99.951408450704221</v>
      </c>
    </row>
    <row r="409" spans="1:9" s="191" customFormat="1" ht="36" customHeight="1" x14ac:dyDescent="0.25">
      <c r="A409" s="29" t="s">
        <v>133</v>
      </c>
      <c r="B409" s="399" t="s">
        <v>840</v>
      </c>
      <c r="C409" s="399" t="s">
        <v>118</v>
      </c>
      <c r="D409" s="9" t="s">
        <v>150</v>
      </c>
      <c r="E409" s="399" t="s">
        <v>134</v>
      </c>
      <c r="F409" s="399"/>
      <c r="G409" s="10">
        <f>'Пр.3 Рд,пр, ЦС,ВР 21'!F97</f>
        <v>426</v>
      </c>
      <c r="H409" s="10">
        <f>'Пр.3 Рд,пр, ЦС,ВР 21'!G97</f>
        <v>425.79300000000001</v>
      </c>
      <c r="I409" s="389">
        <f t="shared" si="66"/>
        <v>99.951408450704221</v>
      </c>
    </row>
    <row r="410" spans="1:9" s="191" customFormat="1" ht="20.25" customHeight="1" x14ac:dyDescent="0.25">
      <c r="A410" s="29" t="s">
        <v>148</v>
      </c>
      <c r="B410" s="399" t="s">
        <v>840</v>
      </c>
      <c r="C410" s="399" t="s">
        <v>118</v>
      </c>
      <c r="D410" s="9" t="s">
        <v>150</v>
      </c>
      <c r="E410" s="399" t="s">
        <v>134</v>
      </c>
      <c r="F410" s="399" t="s">
        <v>641</v>
      </c>
      <c r="G410" s="10">
        <f>G409</f>
        <v>426</v>
      </c>
      <c r="H410" s="10">
        <f>H409</f>
        <v>425.79300000000001</v>
      </c>
      <c r="I410" s="389">
        <f t="shared" si="66"/>
        <v>99.951408450704221</v>
      </c>
    </row>
    <row r="411" spans="1:9" s="191" customFormat="1" ht="63" customHeight="1" x14ac:dyDescent="0.25">
      <c r="A411" s="204" t="s">
        <v>842</v>
      </c>
      <c r="B411" s="7" t="s">
        <v>849</v>
      </c>
      <c r="C411" s="7"/>
      <c r="D411" s="8"/>
      <c r="E411" s="187"/>
      <c r="F411" s="7"/>
      <c r="G411" s="59">
        <f>G412</f>
        <v>198.04000000000002</v>
      </c>
      <c r="H411" s="59">
        <f>H412</f>
        <v>196.34899999999999</v>
      </c>
      <c r="I411" s="492">
        <f t="shared" si="66"/>
        <v>99.146132094526337</v>
      </c>
    </row>
    <row r="412" spans="1:9" ht="15.75" x14ac:dyDescent="0.25">
      <c r="A412" s="45" t="s">
        <v>117</v>
      </c>
      <c r="B412" s="5" t="s">
        <v>849</v>
      </c>
      <c r="C412" s="399" t="s">
        <v>118</v>
      </c>
      <c r="D412" s="5"/>
      <c r="E412" s="5"/>
      <c r="F412" s="399"/>
      <c r="G412" s="10">
        <f>G413+G418</f>
        <v>198.04000000000002</v>
      </c>
      <c r="H412" s="10">
        <f>H413+H418</f>
        <v>196.34899999999999</v>
      </c>
      <c r="I412" s="389">
        <f t="shared" si="66"/>
        <v>99.146132094526337</v>
      </c>
    </row>
    <row r="413" spans="1:9" s="191" customFormat="1" ht="47.25" x14ac:dyDescent="0.25">
      <c r="A413" s="396" t="s">
        <v>575</v>
      </c>
      <c r="B413" s="5" t="s">
        <v>849</v>
      </c>
      <c r="C413" s="399" t="s">
        <v>118</v>
      </c>
      <c r="D413" s="9" t="s">
        <v>213</v>
      </c>
      <c r="E413" s="5"/>
      <c r="F413" s="399"/>
      <c r="G413" s="10">
        <f t="shared" ref="G413:H415" si="69">G414</f>
        <v>1.6400000000000006</v>
      </c>
      <c r="H413" s="10">
        <f t="shared" si="69"/>
        <v>0</v>
      </c>
      <c r="I413" s="389">
        <f t="shared" si="66"/>
        <v>0</v>
      </c>
    </row>
    <row r="414" spans="1:9" s="191" customFormat="1" ht="47.25" x14ac:dyDescent="0.25">
      <c r="A414" s="31" t="s">
        <v>695</v>
      </c>
      <c r="B414" s="399" t="s">
        <v>992</v>
      </c>
      <c r="C414" s="392" t="s">
        <v>118</v>
      </c>
      <c r="D414" s="9" t="s">
        <v>213</v>
      </c>
      <c r="E414" s="5"/>
      <c r="F414" s="399"/>
      <c r="G414" s="10">
        <f t="shared" si="69"/>
        <v>1.6400000000000006</v>
      </c>
      <c r="H414" s="10">
        <f t="shared" si="69"/>
        <v>0</v>
      </c>
      <c r="I414" s="389">
        <f t="shared" si="66"/>
        <v>0</v>
      </c>
    </row>
    <row r="415" spans="1:9" s="191" customFormat="1" ht="31.5" x14ac:dyDescent="0.25">
      <c r="A415" s="396" t="s">
        <v>131</v>
      </c>
      <c r="B415" s="399" t="s">
        <v>696</v>
      </c>
      <c r="C415" s="392" t="s">
        <v>118</v>
      </c>
      <c r="D415" s="9" t="s">
        <v>213</v>
      </c>
      <c r="E415" s="5">
        <v>200</v>
      </c>
      <c r="F415" s="399"/>
      <c r="G415" s="10">
        <f t="shared" si="69"/>
        <v>1.6400000000000006</v>
      </c>
      <c r="H415" s="10">
        <f t="shared" si="69"/>
        <v>0</v>
      </c>
      <c r="I415" s="389">
        <f t="shared" si="66"/>
        <v>0</v>
      </c>
    </row>
    <row r="416" spans="1:9" s="191" customFormat="1" ht="31.5" x14ac:dyDescent="0.25">
      <c r="A416" s="396" t="s">
        <v>133</v>
      </c>
      <c r="B416" s="399" t="s">
        <v>696</v>
      </c>
      <c r="C416" s="392" t="s">
        <v>118</v>
      </c>
      <c r="D416" s="9" t="s">
        <v>213</v>
      </c>
      <c r="E416" s="5">
        <v>240</v>
      </c>
      <c r="F416" s="399"/>
      <c r="G416" s="10">
        <f>'Пр.4 ведом.21'!G53</f>
        <v>1.6400000000000006</v>
      </c>
      <c r="H416" s="10">
        <f>'Пр.4 ведом.21'!H53</f>
        <v>0</v>
      </c>
      <c r="I416" s="389">
        <f t="shared" si="66"/>
        <v>0</v>
      </c>
    </row>
    <row r="417" spans="1:9" s="191" customFormat="1" ht="15.75" x14ac:dyDescent="0.25">
      <c r="A417" s="396" t="s">
        <v>148</v>
      </c>
      <c r="B417" s="399" t="s">
        <v>696</v>
      </c>
      <c r="C417" s="392" t="s">
        <v>118</v>
      </c>
      <c r="D417" s="9" t="s">
        <v>213</v>
      </c>
      <c r="E417" s="5">
        <v>240</v>
      </c>
      <c r="F417" s="399" t="s">
        <v>641</v>
      </c>
      <c r="G417" s="10">
        <f>G414</f>
        <v>1.6400000000000006</v>
      </c>
      <c r="H417" s="10">
        <f>H414</f>
        <v>0</v>
      </c>
      <c r="I417" s="389">
        <f t="shared" si="66"/>
        <v>0</v>
      </c>
    </row>
    <row r="418" spans="1:9" s="191" customFormat="1" ht="63" x14ac:dyDescent="0.25">
      <c r="A418" s="29" t="s">
        <v>149</v>
      </c>
      <c r="B418" s="5" t="s">
        <v>849</v>
      </c>
      <c r="C418" s="399" t="s">
        <v>118</v>
      </c>
      <c r="D418" s="9" t="s">
        <v>150</v>
      </c>
      <c r="E418" s="5"/>
      <c r="F418" s="399"/>
      <c r="G418" s="10">
        <f>G419</f>
        <v>196.4</v>
      </c>
      <c r="H418" s="10">
        <f>H419</f>
        <v>196.34899999999999</v>
      </c>
      <c r="I418" s="389">
        <f t="shared" si="66"/>
        <v>99.974032586558039</v>
      </c>
    </row>
    <row r="419" spans="1:9" ht="47.25" x14ac:dyDescent="0.25">
      <c r="A419" s="172" t="s">
        <v>165</v>
      </c>
      <c r="B419" s="399" t="s">
        <v>841</v>
      </c>
      <c r="C419" s="399" t="s">
        <v>118</v>
      </c>
      <c r="D419" s="9" t="s">
        <v>150</v>
      </c>
      <c r="E419" s="399"/>
      <c r="F419" s="399"/>
      <c r="G419" s="10">
        <f>G420+G423</f>
        <v>196.4</v>
      </c>
      <c r="H419" s="10">
        <f>H420+H423</f>
        <v>196.34899999999999</v>
      </c>
      <c r="I419" s="389">
        <f t="shared" si="66"/>
        <v>99.974032586558039</v>
      </c>
    </row>
    <row r="420" spans="1:9" s="191" customFormat="1" ht="78.75" x14ac:dyDescent="0.25">
      <c r="A420" s="396" t="s">
        <v>127</v>
      </c>
      <c r="B420" s="399" t="s">
        <v>841</v>
      </c>
      <c r="C420" s="399" t="s">
        <v>118</v>
      </c>
      <c r="D420" s="9" t="s">
        <v>150</v>
      </c>
      <c r="E420" s="399" t="s">
        <v>128</v>
      </c>
      <c r="F420" s="399"/>
      <c r="G420" s="10">
        <f>G421</f>
        <v>151.4</v>
      </c>
      <c r="H420" s="10">
        <f>H421</f>
        <v>151.34899999999999</v>
      </c>
      <c r="I420" s="389">
        <f t="shared" si="66"/>
        <v>99.966314398943183</v>
      </c>
    </row>
    <row r="421" spans="1:9" s="191" customFormat="1" ht="31.5" x14ac:dyDescent="0.25">
      <c r="A421" s="396" t="s">
        <v>129</v>
      </c>
      <c r="B421" s="399" t="s">
        <v>841</v>
      </c>
      <c r="C421" s="399" t="s">
        <v>118</v>
      </c>
      <c r="D421" s="9" t="s">
        <v>150</v>
      </c>
      <c r="E421" s="399" t="s">
        <v>130</v>
      </c>
      <c r="F421" s="399"/>
      <c r="G421" s="10">
        <f>'Пр.3 Рд,пр, ЦС,ВР 21'!F101</f>
        <v>151.4</v>
      </c>
      <c r="H421" s="10">
        <f>'Пр.3 Рд,пр, ЦС,ВР 21'!G101</f>
        <v>151.34899999999999</v>
      </c>
      <c r="I421" s="389">
        <f t="shared" si="66"/>
        <v>99.966314398943183</v>
      </c>
    </row>
    <row r="422" spans="1:9" s="191" customFormat="1" ht="24" customHeight="1" x14ac:dyDescent="0.25">
      <c r="A422" s="29" t="s">
        <v>1320</v>
      </c>
      <c r="B422" s="399" t="s">
        <v>841</v>
      </c>
      <c r="C422" s="399" t="s">
        <v>118</v>
      </c>
      <c r="D422" s="9" t="s">
        <v>150</v>
      </c>
      <c r="E422" s="399" t="s">
        <v>130</v>
      </c>
      <c r="F422" s="399" t="s">
        <v>641</v>
      </c>
      <c r="G422" s="10">
        <f>G421</f>
        <v>151.4</v>
      </c>
      <c r="H422" s="10">
        <f>H421</f>
        <v>151.34899999999999</v>
      </c>
      <c r="I422" s="389">
        <f t="shared" si="66"/>
        <v>99.966314398943183</v>
      </c>
    </row>
    <row r="423" spans="1:9" s="191" customFormat="1" ht="31.5" x14ac:dyDescent="0.25">
      <c r="A423" s="396" t="s">
        <v>131</v>
      </c>
      <c r="B423" s="399" t="s">
        <v>841</v>
      </c>
      <c r="C423" s="399" t="s">
        <v>118</v>
      </c>
      <c r="D423" s="9" t="s">
        <v>150</v>
      </c>
      <c r="E423" s="399" t="s">
        <v>132</v>
      </c>
      <c r="F423" s="399"/>
      <c r="G423" s="10">
        <f>G424</f>
        <v>45</v>
      </c>
      <c r="H423" s="10">
        <f>H424</f>
        <v>45</v>
      </c>
      <c r="I423" s="389">
        <f t="shared" si="66"/>
        <v>100</v>
      </c>
    </row>
    <row r="424" spans="1:9" s="191" customFormat="1" ht="31.5" x14ac:dyDescent="0.25">
      <c r="A424" s="396" t="s">
        <v>133</v>
      </c>
      <c r="B424" s="399" t="s">
        <v>841</v>
      </c>
      <c r="C424" s="399" t="s">
        <v>118</v>
      </c>
      <c r="D424" s="9" t="s">
        <v>150</v>
      </c>
      <c r="E424" s="399" t="s">
        <v>134</v>
      </c>
      <c r="F424" s="399"/>
      <c r="G424" s="10">
        <f>'Пр.3 Рд,пр, ЦС,ВР 21'!F103</f>
        <v>45</v>
      </c>
      <c r="H424" s="10">
        <f>'Пр.3 Рд,пр, ЦС,ВР 21'!G103</f>
        <v>45</v>
      </c>
      <c r="I424" s="389">
        <f t="shared" si="66"/>
        <v>100</v>
      </c>
    </row>
    <row r="425" spans="1:9" s="191" customFormat="1" ht="22.7" customHeight="1" x14ac:dyDescent="0.25">
      <c r="A425" s="29" t="s">
        <v>148</v>
      </c>
      <c r="B425" s="399" t="s">
        <v>841</v>
      </c>
      <c r="C425" s="399" t="s">
        <v>118</v>
      </c>
      <c r="D425" s="9" t="s">
        <v>150</v>
      </c>
      <c r="E425" s="399" t="s">
        <v>134</v>
      </c>
      <c r="F425" s="399" t="s">
        <v>641</v>
      </c>
      <c r="G425" s="10">
        <f>G424</f>
        <v>45</v>
      </c>
      <c r="H425" s="10">
        <f>H424</f>
        <v>45</v>
      </c>
      <c r="I425" s="389">
        <f t="shared" si="66"/>
        <v>100</v>
      </c>
    </row>
    <row r="426" spans="1:9" s="191" customFormat="1" ht="47.25" hidden="1" x14ac:dyDescent="0.25">
      <c r="A426" s="31" t="s">
        <v>695</v>
      </c>
      <c r="B426" s="399" t="s">
        <v>992</v>
      </c>
      <c r="C426" s="399" t="s">
        <v>118</v>
      </c>
      <c r="D426" s="9" t="s">
        <v>150</v>
      </c>
      <c r="E426" s="5"/>
      <c r="F426" s="399"/>
      <c r="G426" s="10">
        <f>G427</f>
        <v>0</v>
      </c>
      <c r="H426" s="10">
        <f>H427</f>
        <v>0</v>
      </c>
      <c r="I426" s="389" t="e">
        <f t="shared" si="66"/>
        <v>#DIV/0!</v>
      </c>
    </row>
    <row r="427" spans="1:9" s="191" customFormat="1" ht="31.5" hidden="1" x14ac:dyDescent="0.25">
      <c r="A427" s="396" t="s">
        <v>131</v>
      </c>
      <c r="B427" s="399" t="s">
        <v>992</v>
      </c>
      <c r="C427" s="399" t="s">
        <v>118</v>
      </c>
      <c r="D427" s="9" t="s">
        <v>150</v>
      </c>
      <c r="E427" s="5">
        <v>200</v>
      </c>
      <c r="F427" s="399"/>
      <c r="G427" s="10">
        <f>G428</f>
        <v>0</v>
      </c>
      <c r="H427" s="10">
        <f>H428</f>
        <v>0</v>
      </c>
      <c r="I427" s="389" t="e">
        <f t="shared" si="66"/>
        <v>#DIV/0!</v>
      </c>
    </row>
    <row r="428" spans="1:9" s="191" customFormat="1" ht="31.5" hidden="1" x14ac:dyDescent="0.25">
      <c r="A428" s="396" t="s">
        <v>133</v>
      </c>
      <c r="B428" s="399" t="s">
        <v>992</v>
      </c>
      <c r="C428" s="399" t="s">
        <v>118</v>
      </c>
      <c r="D428" s="9" t="s">
        <v>150</v>
      </c>
      <c r="E428" s="5">
        <v>240</v>
      </c>
      <c r="F428" s="399"/>
      <c r="G428" s="10">
        <f>'Пр.4 ведом.21'!G110</f>
        <v>0</v>
      </c>
      <c r="H428" s="10">
        <f>'Пр.4 ведом.21'!H110</f>
        <v>0</v>
      </c>
      <c r="I428" s="389" t="e">
        <f t="shared" si="66"/>
        <v>#DIV/0!</v>
      </c>
    </row>
    <row r="429" spans="1:9" s="191" customFormat="1" ht="21.2" hidden="1" customHeight="1" x14ac:dyDescent="0.25">
      <c r="A429" s="29" t="s">
        <v>148</v>
      </c>
      <c r="B429" s="399" t="s">
        <v>992</v>
      </c>
      <c r="C429" s="399" t="s">
        <v>118</v>
      </c>
      <c r="D429" s="9" t="s">
        <v>150</v>
      </c>
      <c r="E429" s="5">
        <v>240</v>
      </c>
      <c r="F429" s="399" t="s">
        <v>641</v>
      </c>
      <c r="G429" s="10">
        <f>G428</f>
        <v>0</v>
      </c>
      <c r="H429" s="10">
        <f>H428</f>
        <v>0</v>
      </c>
      <c r="I429" s="389" t="e">
        <f t="shared" si="66"/>
        <v>#DIV/0!</v>
      </c>
    </row>
    <row r="430" spans="1:9" s="191" customFormat="1" ht="63" x14ac:dyDescent="0.25">
      <c r="A430" s="205" t="s">
        <v>1002</v>
      </c>
      <c r="B430" s="7" t="s">
        <v>850</v>
      </c>
      <c r="C430" s="7"/>
      <c r="D430" s="8"/>
      <c r="E430" s="7"/>
      <c r="F430" s="7"/>
      <c r="G430" s="59">
        <f t="shared" ref="G430:H434" si="70">G431</f>
        <v>0.5</v>
      </c>
      <c r="H430" s="59">
        <f t="shared" si="70"/>
        <v>0</v>
      </c>
      <c r="I430" s="492">
        <f t="shared" si="66"/>
        <v>0</v>
      </c>
    </row>
    <row r="431" spans="1:9" s="191" customFormat="1" ht="15.75" x14ac:dyDescent="0.25">
      <c r="A431" s="45" t="s">
        <v>117</v>
      </c>
      <c r="B431" s="399" t="s">
        <v>850</v>
      </c>
      <c r="C431" s="399" t="s">
        <v>118</v>
      </c>
      <c r="D431" s="9"/>
      <c r="E431" s="7"/>
      <c r="F431" s="7"/>
      <c r="G431" s="10">
        <f t="shared" si="70"/>
        <v>0.5</v>
      </c>
      <c r="H431" s="10">
        <f t="shared" si="70"/>
        <v>0</v>
      </c>
      <c r="I431" s="389">
        <f t="shared" si="66"/>
        <v>0</v>
      </c>
    </row>
    <row r="432" spans="1:9" s="191" customFormat="1" ht="63" x14ac:dyDescent="0.25">
      <c r="A432" s="29" t="s">
        <v>149</v>
      </c>
      <c r="B432" s="399" t="s">
        <v>850</v>
      </c>
      <c r="C432" s="399" t="s">
        <v>118</v>
      </c>
      <c r="D432" s="9" t="s">
        <v>150</v>
      </c>
      <c r="E432" s="7"/>
      <c r="F432" s="7"/>
      <c r="G432" s="10">
        <f t="shared" si="70"/>
        <v>0.5</v>
      </c>
      <c r="H432" s="10">
        <f t="shared" si="70"/>
        <v>0</v>
      </c>
      <c r="I432" s="389">
        <f t="shared" si="66"/>
        <v>0</v>
      </c>
    </row>
    <row r="433" spans="1:9" s="191" customFormat="1" ht="47.25" x14ac:dyDescent="0.25">
      <c r="A433" s="33" t="s">
        <v>191</v>
      </c>
      <c r="B433" s="399" t="s">
        <v>843</v>
      </c>
      <c r="C433" s="399" t="s">
        <v>118</v>
      </c>
      <c r="D433" s="9" t="s">
        <v>150</v>
      </c>
      <c r="E433" s="399"/>
      <c r="F433" s="399"/>
      <c r="G433" s="10">
        <f t="shared" si="70"/>
        <v>0.5</v>
      </c>
      <c r="H433" s="10">
        <f t="shared" si="70"/>
        <v>0</v>
      </c>
      <c r="I433" s="389">
        <f t="shared" si="66"/>
        <v>0</v>
      </c>
    </row>
    <row r="434" spans="1:9" s="191" customFormat="1" ht="31.5" x14ac:dyDescent="0.25">
      <c r="A434" s="396" t="s">
        <v>131</v>
      </c>
      <c r="B434" s="399" t="s">
        <v>843</v>
      </c>
      <c r="C434" s="399" t="s">
        <v>118</v>
      </c>
      <c r="D434" s="9" t="s">
        <v>150</v>
      </c>
      <c r="E434" s="399" t="s">
        <v>132</v>
      </c>
      <c r="F434" s="399"/>
      <c r="G434" s="10">
        <f t="shared" si="70"/>
        <v>0.5</v>
      </c>
      <c r="H434" s="10">
        <f t="shared" si="70"/>
        <v>0</v>
      </c>
      <c r="I434" s="389">
        <f t="shared" si="66"/>
        <v>0</v>
      </c>
    </row>
    <row r="435" spans="1:9" s="191" customFormat="1" ht="31.5" x14ac:dyDescent="0.25">
      <c r="A435" s="396" t="s">
        <v>133</v>
      </c>
      <c r="B435" s="399" t="s">
        <v>843</v>
      </c>
      <c r="C435" s="399" t="s">
        <v>118</v>
      </c>
      <c r="D435" s="9" t="s">
        <v>150</v>
      </c>
      <c r="E435" s="399" t="s">
        <v>134</v>
      </c>
      <c r="F435" s="399"/>
      <c r="G435" s="10">
        <f>'Пр.3 Рд,пр, ЦС,ВР 21'!F110</f>
        <v>0.5</v>
      </c>
      <c r="H435" s="10">
        <f>'Пр.3 Рд,пр, ЦС,ВР 21'!G110</f>
        <v>0</v>
      </c>
      <c r="I435" s="389">
        <f t="shared" si="66"/>
        <v>0</v>
      </c>
    </row>
    <row r="436" spans="1:9" s="191" customFormat="1" ht="21.75" customHeight="1" x14ac:dyDescent="0.25">
      <c r="A436" s="29" t="s">
        <v>148</v>
      </c>
      <c r="B436" s="399" t="s">
        <v>843</v>
      </c>
      <c r="C436" s="399" t="s">
        <v>118</v>
      </c>
      <c r="D436" s="9" t="s">
        <v>150</v>
      </c>
      <c r="E436" s="399" t="s">
        <v>134</v>
      </c>
      <c r="F436" s="399" t="s">
        <v>641</v>
      </c>
      <c r="G436" s="10">
        <f>G435</f>
        <v>0.5</v>
      </c>
      <c r="H436" s="10">
        <f>H435</f>
        <v>0</v>
      </c>
      <c r="I436" s="389">
        <f t="shared" si="66"/>
        <v>0</v>
      </c>
    </row>
    <row r="437" spans="1:9" ht="70.5" hidden="1" customHeight="1" x14ac:dyDescent="0.25">
      <c r="A437" s="400" t="s">
        <v>1345</v>
      </c>
      <c r="B437" s="187" t="s">
        <v>254</v>
      </c>
      <c r="C437" s="399"/>
      <c r="D437" s="399"/>
      <c r="E437" s="399"/>
      <c r="F437" s="399"/>
      <c r="G437" s="59">
        <f t="shared" ref="G437:H437" si="71">G439</f>
        <v>0</v>
      </c>
      <c r="H437" s="59">
        <f t="shared" si="71"/>
        <v>0</v>
      </c>
      <c r="I437" s="389" t="e">
        <f t="shared" si="66"/>
        <v>#DIV/0!</v>
      </c>
    </row>
    <row r="438" spans="1:9" s="191" customFormat="1" ht="54" hidden="1" customHeight="1" x14ac:dyDescent="0.25">
      <c r="A438" s="394" t="s">
        <v>883</v>
      </c>
      <c r="B438" s="395" t="s">
        <v>881</v>
      </c>
      <c r="C438" s="399"/>
      <c r="D438" s="399"/>
      <c r="E438" s="399"/>
      <c r="F438" s="399"/>
      <c r="G438" s="59">
        <f t="shared" ref="G438:H440" si="72">G439</f>
        <v>0</v>
      </c>
      <c r="H438" s="59">
        <f t="shared" si="72"/>
        <v>0</v>
      </c>
      <c r="I438" s="389" t="e">
        <f t="shared" si="66"/>
        <v>#DIV/0!</v>
      </c>
    </row>
    <row r="439" spans="1:9" ht="15.75" hidden="1" x14ac:dyDescent="0.25">
      <c r="A439" s="29" t="s">
        <v>243</v>
      </c>
      <c r="B439" s="5" t="s">
        <v>881</v>
      </c>
      <c r="C439" s="399" t="s">
        <v>244</v>
      </c>
      <c r="D439" s="399"/>
      <c r="E439" s="399"/>
      <c r="F439" s="399"/>
      <c r="G439" s="10">
        <f t="shared" si="72"/>
        <v>0</v>
      </c>
      <c r="H439" s="10">
        <f t="shared" si="72"/>
        <v>0</v>
      </c>
      <c r="I439" s="389" t="e">
        <f t="shared" si="66"/>
        <v>#DIV/0!</v>
      </c>
    </row>
    <row r="440" spans="1:9" ht="22.7" hidden="1" customHeight="1" x14ac:dyDescent="0.25">
      <c r="A440" s="29" t="s">
        <v>252</v>
      </c>
      <c r="B440" s="5" t="s">
        <v>881</v>
      </c>
      <c r="C440" s="399" t="s">
        <v>244</v>
      </c>
      <c r="D440" s="399" t="s">
        <v>215</v>
      </c>
      <c r="E440" s="399"/>
      <c r="F440" s="399"/>
      <c r="G440" s="10">
        <f t="shared" si="72"/>
        <v>0</v>
      </c>
      <c r="H440" s="10">
        <f t="shared" si="72"/>
        <v>0</v>
      </c>
      <c r="I440" s="389" t="e">
        <f t="shared" si="66"/>
        <v>#DIV/0!</v>
      </c>
    </row>
    <row r="441" spans="1:9" ht="31.5" hidden="1" x14ac:dyDescent="0.25">
      <c r="A441" s="396" t="s">
        <v>882</v>
      </c>
      <c r="B441" s="392" t="s">
        <v>1186</v>
      </c>
      <c r="C441" s="399" t="s">
        <v>244</v>
      </c>
      <c r="D441" s="399" t="s">
        <v>215</v>
      </c>
      <c r="E441" s="399"/>
      <c r="F441" s="399"/>
      <c r="G441" s="10">
        <f t="shared" ref="G441:H442" si="73">G442</f>
        <v>0</v>
      </c>
      <c r="H441" s="10">
        <f t="shared" si="73"/>
        <v>0</v>
      </c>
      <c r="I441" s="389" t="e">
        <f t="shared" si="66"/>
        <v>#DIV/0!</v>
      </c>
    </row>
    <row r="442" spans="1:9" ht="21.75" hidden="1" customHeight="1" x14ac:dyDescent="0.25">
      <c r="A442" s="396" t="s">
        <v>248</v>
      </c>
      <c r="B442" s="392" t="s">
        <v>1186</v>
      </c>
      <c r="C442" s="399" t="s">
        <v>244</v>
      </c>
      <c r="D442" s="399" t="s">
        <v>215</v>
      </c>
      <c r="E442" s="399" t="s">
        <v>249</v>
      </c>
      <c r="F442" s="399"/>
      <c r="G442" s="10">
        <f t="shared" si="73"/>
        <v>0</v>
      </c>
      <c r="H442" s="10">
        <f t="shared" si="73"/>
        <v>0</v>
      </c>
      <c r="I442" s="389" t="e">
        <f t="shared" si="66"/>
        <v>#DIV/0!</v>
      </c>
    </row>
    <row r="443" spans="1:9" ht="31.7" hidden="1" customHeight="1" x14ac:dyDescent="0.25">
      <c r="A443" s="396" t="s">
        <v>250</v>
      </c>
      <c r="B443" s="392" t="s">
        <v>1186</v>
      </c>
      <c r="C443" s="399" t="s">
        <v>244</v>
      </c>
      <c r="D443" s="399" t="s">
        <v>215</v>
      </c>
      <c r="E443" s="399" t="s">
        <v>251</v>
      </c>
      <c r="F443" s="399"/>
      <c r="G443" s="10">
        <f>'Пр.4 ведом.21'!G250</f>
        <v>0</v>
      </c>
      <c r="H443" s="10">
        <f>'Пр.4 ведом.21'!H250</f>
        <v>0</v>
      </c>
      <c r="I443" s="389" t="e">
        <f t="shared" si="66"/>
        <v>#DIV/0!</v>
      </c>
    </row>
    <row r="444" spans="1:9" ht="22.7" hidden="1" customHeight="1" x14ac:dyDescent="0.25">
      <c r="A444" s="29" t="s">
        <v>148</v>
      </c>
      <c r="B444" s="392" t="s">
        <v>1186</v>
      </c>
      <c r="C444" s="399" t="s">
        <v>244</v>
      </c>
      <c r="D444" s="399" t="s">
        <v>215</v>
      </c>
      <c r="E444" s="399" t="s">
        <v>251</v>
      </c>
      <c r="F444" s="399" t="s">
        <v>641</v>
      </c>
      <c r="G444" s="10">
        <f>G443</f>
        <v>0</v>
      </c>
      <c r="H444" s="10">
        <f>H443</f>
        <v>0</v>
      </c>
      <c r="I444" s="389" t="e">
        <f t="shared" si="66"/>
        <v>#DIV/0!</v>
      </c>
    </row>
    <row r="445" spans="1:9" ht="53.45" customHeight="1" x14ac:dyDescent="0.25">
      <c r="A445" s="400" t="s">
        <v>1368</v>
      </c>
      <c r="B445" s="3" t="s">
        <v>482</v>
      </c>
      <c r="C445" s="68"/>
      <c r="D445" s="68"/>
      <c r="E445" s="68"/>
      <c r="F445" s="68"/>
      <c r="G445" s="388">
        <f>G446+G457+G476+G487+G511+G494+G504</f>
        <v>58697.759999999995</v>
      </c>
      <c r="H445" s="388">
        <f>H446+H457+H476+H487+H511+H494+H504</f>
        <v>58433.518999999993</v>
      </c>
      <c r="I445" s="492">
        <f t="shared" si="66"/>
        <v>99.54982779581367</v>
      </c>
    </row>
    <row r="446" spans="1:9" s="191" customFormat="1" ht="31.5" x14ac:dyDescent="0.25">
      <c r="A446" s="394" t="s">
        <v>936</v>
      </c>
      <c r="B446" s="395" t="s">
        <v>1261</v>
      </c>
      <c r="C446" s="7"/>
      <c r="D446" s="7"/>
      <c r="E446" s="207"/>
      <c r="F446" s="187"/>
      <c r="G446" s="59">
        <f>G447+G453</f>
        <v>47847.829999999994</v>
      </c>
      <c r="H446" s="59">
        <f>H447+H453</f>
        <v>47847.829999999994</v>
      </c>
      <c r="I446" s="492">
        <f t="shared" si="66"/>
        <v>100</v>
      </c>
    </row>
    <row r="447" spans="1:9" ht="17.45" customHeight="1" x14ac:dyDescent="0.25">
      <c r="A447" s="29" t="s">
        <v>490</v>
      </c>
      <c r="B447" s="399" t="s">
        <v>1261</v>
      </c>
      <c r="C447" s="2">
        <v>11</v>
      </c>
      <c r="D447" s="68"/>
      <c r="E447" s="68"/>
      <c r="F447" s="68"/>
      <c r="G447" s="10">
        <f t="shared" ref="G447:H447" si="74">G448</f>
        <v>46925.63</v>
      </c>
      <c r="H447" s="10">
        <f t="shared" si="74"/>
        <v>46925.63</v>
      </c>
      <c r="I447" s="389">
        <f t="shared" si="66"/>
        <v>100</v>
      </c>
    </row>
    <row r="448" spans="1:9" ht="19.5" customHeight="1" x14ac:dyDescent="0.25">
      <c r="A448" s="29" t="s">
        <v>492</v>
      </c>
      <c r="B448" s="399" t="s">
        <v>1261</v>
      </c>
      <c r="C448" s="399" t="s">
        <v>491</v>
      </c>
      <c r="D448" s="399" t="s">
        <v>118</v>
      </c>
      <c r="E448" s="71"/>
      <c r="F448" s="5"/>
      <c r="G448" s="10">
        <f t="shared" ref="G448:H450" si="75">G449</f>
        <v>46925.63</v>
      </c>
      <c r="H448" s="10">
        <f t="shared" si="75"/>
        <v>46925.63</v>
      </c>
      <c r="I448" s="389">
        <f t="shared" si="66"/>
        <v>100</v>
      </c>
    </row>
    <row r="449" spans="1:9" ht="31.5" x14ac:dyDescent="0.25">
      <c r="A449" s="396" t="s">
        <v>1291</v>
      </c>
      <c r="B449" s="392" t="s">
        <v>1262</v>
      </c>
      <c r="C449" s="399" t="s">
        <v>491</v>
      </c>
      <c r="D449" s="399" t="s">
        <v>118</v>
      </c>
      <c r="E449" s="71"/>
      <c r="F449" s="5"/>
      <c r="G449" s="10">
        <f t="shared" si="75"/>
        <v>46925.63</v>
      </c>
      <c r="H449" s="10">
        <f t="shared" si="75"/>
        <v>46925.63</v>
      </c>
      <c r="I449" s="389">
        <f t="shared" si="66"/>
        <v>100</v>
      </c>
    </row>
    <row r="450" spans="1:9" ht="31.5" x14ac:dyDescent="0.25">
      <c r="A450" s="29" t="s">
        <v>272</v>
      </c>
      <c r="B450" s="392" t="s">
        <v>1262</v>
      </c>
      <c r="C450" s="399" t="s">
        <v>491</v>
      </c>
      <c r="D450" s="399" t="s">
        <v>118</v>
      </c>
      <c r="E450" s="399" t="s">
        <v>273</v>
      </c>
      <c r="F450" s="5"/>
      <c r="G450" s="10">
        <f t="shared" si="75"/>
        <v>46925.63</v>
      </c>
      <c r="H450" s="10">
        <f t="shared" si="75"/>
        <v>46925.63</v>
      </c>
      <c r="I450" s="389">
        <f t="shared" si="66"/>
        <v>100</v>
      </c>
    </row>
    <row r="451" spans="1:9" ht="15.75" x14ac:dyDescent="0.25">
      <c r="A451" s="29" t="s">
        <v>274</v>
      </c>
      <c r="B451" s="392" t="s">
        <v>1262</v>
      </c>
      <c r="C451" s="399" t="s">
        <v>491</v>
      </c>
      <c r="D451" s="399" t="s">
        <v>118</v>
      </c>
      <c r="E451" s="399" t="s">
        <v>275</v>
      </c>
      <c r="F451" s="5"/>
      <c r="G451" s="10">
        <f>'Пр.4 ведом.21'!G883</f>
        <v>46925.63</v>
      </c>
      <c r="H451" s="10">
        <f>'Пр.4 ведом.21'!H883</f>
        <v>46925.63</v>
      </c>
      <c r="I451" s="389">
        <f t="shared" si="66"/>
        <v>100</v>
      </c>
    </row>
    <row r="452" spans="1:9" s="191" customFormat="1" ht="31.5" x14ac:dyDescent="0.25">
      <c r="A452" s="45" t="s">
        <v>480</v>
      </c>
      <c r="B452" s="392" t="s">
        <v>1262</v>
      </c>
      <c r="C452" s="399" t="s">
        <v>491</v>
      </c>
      <c r="D452" s="399" t="s">
        <v>118</v>
      </c>
      <c r="E452" s="399" t="s">
        <v>275</v>
      </c>
      <c r="F452" s="5">
        <v>907</v>
      </c>
      <c r="G452" s="10">
        <f>G451</f>
        <v>46925.63</v>
      </c>
      <c r="H452" s="10">
        <f>H451</f>
        <v>46925.63</v>
      </c>
      <c r="I452" s="389">
        <f t="shared" si="66"/>
        <v>100</v>
      </c>
    </row>
    <row r="453" spans="1:9" s="387" customFormat="1" ht="47.25" x14ac:dyDescent="0.25">
      <c r="A453" s="396" t="s">
        <v>1660</v>
      </c>
      <c r="B453" s="392" t="s">
        <v>1665</v>
      </c>
      <c r="C453" s="399" t="s">
        <v>491</v>
      </c>
      <c r="D453" s="399" t="s">
        <v>118</v>
      </c>
      <c r="E453" s="399"/>
      <c r="F453" s="5"/>
      <c r="G453" s="10">
        <f>G454</f>
        <v>922.2</v>
      </c>
      <c r="H453" s="10">
        <f>H454</f>
        <v>922.2</v>
      </c>
      <c r="I453" s="389">
        <f t="shared" si="66"/>
        <v>100</v>
      </c>
    </row>
    <row r="454" spans="1:9" s="387" customFormat="1" ht="31.5" x14ac:dyDescent="0.25">
      <c r="A454" s="396" t="s">
        <v>272</v>
      </c>
      <c r="B454" s="392" t="s">
        <v>1665</v>
      </c>
      <c r="C454" s="399" t="s">
        <v>491</v>
      </c>
      <c r="D454" s="399" t="s">
        <v>118</v>
      </c>
      <c r="E454" s="399" t="s">
        <v>273</v>
      </c>
      <c r="F454" s="5"/>
      <c r="G454" s="10">
        <f>G455</f>
        <v>922.2</v>
      </c>
      <c r="H454" s="10">
        <f>H455</f>
        <v>922.2</v>
      </c>
      <c r="I454" s="389">
        <f t="shared" si="66"/>
        <v>100</v>
      </c>
    </row>
    <row r="455" spans="1:9" s="387" customFormat="1" ht="15.75" x14ac:dyDescent="0.25">
      <c r="A455" s="396" t="s">
        <v>274</v>
      </c>
      <c r="B455" s="392" t="s">
        <v>1665</v>
      </c>
      <c r="C455" s="399" t="s">
        <v>491</v>
      </c>
      <c r="D455" s="399" t="s">
        <v>118</v>
      </c>
      <c r="E455" s="399" t="s">
        <v>275</v>
      </c>
      <c r="F455" s="5"/>
      <c r="G455" s="10">
        <f>'Пр.4 ведом.21'!G886</f>
        <v>922.2</v>
      </c>
      <c r="H455" s="10">
        <f>'Пр.4 ведом.21'!H886</f>
        <v>922.2</v>
      </c>
      <c r="I455" s="389">
        <f t="shared" si="66"/>
        <v>100</v>
      </c>
    </row>
    <row r="456" spans="1:9" s="387" customFormat="1" ht="31.5" x14ac:dyDescent="0.25">
      <c r="A456" s="45" t="s">
        <v>480</v>
      </c>
      <c r="B456" s="392" t="s">
        <v>1665</v>
      </c>
      <c r="C456" s="399" t="s">
        <v>491</v>
      </c>
      <c r="D456" s="399" t="s">
        <v>118</v>
      </c>
      <c r="E456" s="399" t="s">
        <v>275</v>
      </c>
      <c r="F456" s="5">
        <v>907</v>
      </c>
      <c r="G456" s="10">
        <f>G455</f>
        <v>922.2</v>
      </c>
      <c r="H456" s="10">
        <f>H455</f>
        <v>922.2</v>
      </c>
      <c r="I456" s="389">
        <f t="shared" si="66"/>
        <v>100</v>
      </c>
    </row>
    <row r="457" spans="1:9" s="191" customFormat="1" ht="31.5" x14ac:dyDescent="0.25">
      <c r="A457" s="394" t="s">
        <v>944</v>
      </c>
      <c r="B457" s="395" t="s">
        <v>1263</v>
      </c>
      <c r="C457" s="7"/>
      <c r="D457" s="7"/>
      <c r="E457" s="7"/>
      <c r="F457" s="187"/>
      <c r="G457" s="59">
        <f>G458</f>
        <v>1211.5</v>
      </c>
      <c r="H457" s="59">
        <f>H458</f>
        <v>1210.472</v>
      </c>
      <c r="I457" s="492">
        <f t="shared" si="66"/>
        <v>99.915146512587711</v>
      </c>
    </row>
    <row r="458" spans="1:9" s="191" customFormat="1" ht="15.75" x14ac:dyDescent="0.25">
      <c r="A458" s="29" t="s">
        <v>490</v>
      </c>
      <c r="B458" s="392" t="s">
        <v>1263</v>
      </c>
      <c r="C458" s="2">
        <v>11</v>
      </c>
      <c r="D458" s="68"/>
      <c r="E458" s="68"/>
      <c r="F458" s="68"/>
      <c r="G458" s="10">
        <f>G459</f>
        <v>1211.5</v>
      </c>
      <c r="H458" s="10">
        <f>H459</f>
        <v>1210.472</v>
      </c>
      <c r="I458" s="389">
        <f t="shared" si="66"/>
        <v>99.915146512587711</v>
      </c>
    </row>
    <row r="459" spans="1:9" s="191" customFormat="1" ht="16.5" x14ac:dyDescent="0.25">
      <c r="A459" s="29" t="s">
        <v>492</v>
      </c>
      <c r="B459" s="392" t="s">
        <v>1263</v>
      </c>
      <c r="C459" s="399" t="s">
        <v>491</v>
      </c>
      <c r="D459" s="399" t="s">
        <v>118</v>
      </c>
      <c r="E459" s="71"/>
      <c r="F459" s="5"/>
      <c r="G459" s="10">
        <f>G460+G464+G468+G472</f>
        <v>1211.5</v>
      </c>
      <c r="H459" s="10">
        <f>H460+H464+H468+H472</f>
        <v>1210.472</v>
      </c>
      <c r="I459" s="389">
        <f t="shared" si="66"/>
        <v>99.915146512587711</v>
      </c>
    </row>
    <row r="460" spans="1:9" ht="31.7" customHeight="1" x14ac:dyDescent="0.25">
      <c r="A460" s="29" t="s">
        <v>278</v>
      </c>
      <c r="B460" s="392" t="s">
        <v>1321</v>
      </c>
      <c r="C460" s="399" t="s">
        <v>491</v>
      </c>
      <c r="D460" s="399" t="s">
        <v>118</v>
      </c>
      <c r="E460" s="399"/>
      <c r="F460" s="5"/>
      <c r="G460" s="10">
        <f t="shared" ref="G460:H461" si="76">G461</f>
        <v>232.9</v>
      </c>
      <c r="H460" s="10">
        <f t="shared" si="76"/>
        <v>231.904</v>
      </c>
      <c r="I460" s="389">
        <f t="shared" si="66"/>
        <v>99.572348647488184</v>
      </c>
    </row>
    <row r="461" spans="1:9" ht="31.7" customHeight="1" x14ac:dyDescent="0.25">
      <c r="A461" s="29" t="s">
        <v>272</v>
      </c>
      <c r="B461" s="392" t="s">
        <v>1321</v>
      </c>
      <c r="C461" s="399" t="s">
        <v>491</v>
      </c>
      <c r="D461" s="399" t="s">
        <v>118</v>
      </c>
      <c r="E461" s="399" t="s">
        <v>273</v>
      </c>
      <c r="F461" s="5"/>
      <c r="G461" s="10">
        <f t="shared" si="76"/>
        <v>232.9</v>
      </c>
      <c r="H461" s="10">
        <f t="shared" si="76"/>
        <v>231.904</v>
      </c>
      <c r="I461" s="389">
        <f t="shared" si="66"/>
        <v>99.572348647488184</v>
      </c>
    </row>
    <row r="462" spans="1:9" ht="15.75" customHeight="1" x14ac:dyDescent="0.25">
      <c r="A462" s="29" t="s">
        <v>274</v>
      </c>
      <c r="B462" s="392" t="s">
        <v>1321</v>
      </c>
      <c r="C462" s="399" t="s">
        <v>491</v>
      </c>
      <c r="D462" s="399" t="s">
        <v>118</v>
      </c>
      <c r="E462" s="399" t="s">
        <v>275</v>
      </c>
      <c r="F462" s="5"/>
      <c r="G462" s="10">
        <f>'Пр.4 ведом.21'!G890</f>
        <v>232.9</v>
      </c>
      <c r="H462" s="10">
        <f>'Пр.4 ведом.21'!H890</f>
        <v>231.904</v>
      </c>
      <c r="I462" s="389">
        <f t="shared" si="66"/>
        <v>99.572348647488184</v>
      </c>
    </row>
    <row r="463" spans="1:9" s="191" customFormat="1" ht="34.5" customHeight="1" x14ac:dyDescent="0.25">
      <c r="A463" s="45" t="s">
        <v>480</v>
      </c>
      <c r="B463" s="392" t="s">
        <v>1321</v>
      </c>
      <c r="C463" s="399" t="s">
        <v>491</v>
      </c>
      <c r="D463" s="399" t="s">
        <v>118</v>
      </c>
      <c r="E463" s="399" t="s">
        <v>275</v>
      </c>
      <c r="F463" s="5">
        <v>907</v>
      </c>
      <c r="G463" s="10">
        <f>G462</f>
        <v>232.9</v>
      </c>
      <c r="H463" s="10">
        <f>H462</f>
        <v>231.904</v>
      </c>
      <c r="I463" s="389">
        <f t="shared" si="66"/>
        <v>99.572348647488184</v>
      </c>
    </row>
    <row r="464" spans="1:9" ht="31.7" customHeight="1" x14ac:dyDescent="0.25">
      <c r="A464" s="29" t="s">
        <v>280</v>
      </c>
      <c r="B464" s="392" t="s">
        <v>1322</v>
      </c>
      <c r="C464" s="399" t="s">
        <v>491</v>
      </c>
      <c r="D464" s="399" t="s">
        <v>118</v>
      </c>
      <c r="E464" s="399"/>
      <c r="F464" s="5"/>
      <c r="G464" s="10">
        <f t="shared" ref="G464:H465" si="77">G465</f>
        <v>642.6</v>
      </c>
      <c r="H464" s="10">
        <f t="shared" si="77"/>
        <v>642.56799999999998</v>
      </c>
      <c r="I464" s="389">
        <f t="shared" si="66"/>
        <v>99.995020230314353</v>
      </c>
    </row>
    <row r="465" spans="1:9" ht="31.7" customHeight="1" x14ac:dyDescent="0.25">
      <c r="A465" s="29" t="s">
        <v>272</v>
      </c>
      <c r="B465" s="392" t="s">
        <v>1322</v>
      </c>
      <c r="C465" s="399" t="s">
        <v>491</v>
      </c>
      <c r="D465" s="399" t="s">
        <v>118</v>
      </c>
      <c r="E465" s="399" t="s">
        <v>273</v>
      </c>
      <c r="F465" s="5"/>
      <c r="G465" s="10">
        <f t="shared" si="77"/>
        <v>642.6</v>
      </c>
      <c r="H465" s="10">
        <f t="shared" si="77"/>
        <v>642.56799999999998</v>
      </c>
      <c r="I465" s="389">
        <f t="shared" ref="I465:I528" si="78">H465/G465*100</f>
        <v>99.995020230314353</v>
      </c>
    </row>
    <row r="466" spans="1:9" ht="15.75" customHeight="1" x14ac:dyDescent="0.25">
      <c r="A466" s="29" t="s">
        <v>274</v>
      </c>
      <c r="B466" s="392" t="s">
        <v>1322</v>
      </c>
      <c r="C466" s="399" t="s">
        <v>491</v>
      </c>
      <c r="D466" s="399" t="s">
        <v>118</v>
      </c>
      <c r="E466" s="399" t="s">
        <v>275</v>
      </c>
      <c r="F466" s="5"/>
      <c r="G466" s="10">
        <f>'Пр.4 ведом.21'!G893</f>
        <v>642.6</v>
      </c>
      <c r="H466" s="10">
        <f>'Пр.4 ведом.21'!H893</f>
        <v>642.56799999999998</v>
      </c>
      <c r="I466" s="389">
        <f t="shared" si="78"/>
        <v>99.995020230314353</v>
      </c>
    </row>
    <row r="467" spans="1:9" s="191" customFormat="1" ht="36" customHeight="1" x14ac:dyDescent="0.25">
      <c r="A467" s="45" t="s">
        <v>480</v>
      </c>
      <c r="B467" s="392" t="s">
        <v>1322</v>
      </c>
      <c r="C467" s="399" t="s">
        <v>491</v>
      </c>
      <c r="D467" s="399" t="s">
        <v>118</v>
      </c>
      <c r="E467" s="399" t="s">
        <v>275</v>
      </c>
      <c r="F467" s="5">
        <v>907</v>
      </c>
      <c r="G467" s="10">
        <f>G466</f>
        <v>642.6</v>
      </c>
      <c r="H467" s="10">
        <f>H466</f>
        <v>642.56799999999998</v>
      </c>
      <c r="I467" s="389">
        <f t="shared" si="78"/>
        <v>99.995020230314353</v>
      </c>
    </row>
    <row r="468" spans="1:9" s="191" customFormat="1" ht="15.75" customHeight="1" x14ac:dyDescent="0.25">
      <c r="A468" s="396" t="s">
        <v>829</v>
      </c>
      <c r="B468" s="392" t="s">
        <v>1264</v>
      </c>
      <c r="C468" s="399" t="s">
        <v>491</v>
      </c>
      <c r="D468" s="399" t="s">
        <v>118</v>
      </c>
      <c r="E468" s="399"/>
      <c r="F468" s="5"/>
      <c r="G468" s="10">
        <f>G469</f>
        <v>36</v>
      </c>
      <c r="H468" s="10">
        <f>H469</f>
        <v>36</v>
      </c>
      <c r="I468" s="389">
        <f t="shared" si="78"/>
        <v>100</v>
      </c>
    </row>
    <row r="469" spans="1:9" s="191" customFormat="1" ht="31.5" x14ac:dyDescent="0.25">
      <c r="A469" s="396" t="s">
        <v>272</v>
      </c>
      <c r="B469" s="392" t="s">
        <v>1264</v>
      </c>
      <c r="C469" s="399" t="s">
        <v>491</v>
      </c>
      <c r="D469" s="399" t="s">
        <v>118</v>
      </c>
      <c r="E469" s="399" t="s">
        <v>273</v>
      </c>
      <c r="F469" s="5"/>
      <c r="G469" s="10">
        <f>G470</f>
        <v>36</v>
      </c>
      <c r="H469" s="10">
        <f>H470</f>
        <v>36</v>
      </c>
      <c r="I469" s="389">
        <f t="shared" si="78"/>
        <v>100</v>
      </c>
    </row>
    <row r="470" spans="1:9" s="191" customFormat="1" ht="15.75" customHeight="1" x14ac:dyDescent="0.25">
      <c r="A470" s="396" t="s">
        <v>274</v>
      </c>
      <c r="B470" s="392" t="s">
        <v>1264</v>
      </c>
      <c r="C470" s="399" t="s">
        <v>491</v>
      </c>
      <c r="D470" s="399" t="s">
        <v>118</v>
      </c>
      <c r="E470" s="399" t="s">
        <v>275</v>
      </c>
      <c r="F470" s="5"/>
      <c r="G470" s="10">
        <f>'Пр.4 ведом.21'!G896</f>
        <v>36</v>
      </c>
      <c r="H470" s="10">
        <f>'Пр.4 ведом.21'!H896</f>
        <v>36</v>
      </c>
      <c r="I470" s="389">
        <f t="shared" si="78"/>
        <v>100</v>
      </c>
    </row>
    <row r="471" spans="1:9" s="191" customFormat="1" ht="33" customHeight="1" x14ac:dyDescent="0.25">
      <c r="A471" s="45" t="s">
        <v>480</v>
      </c>
      <c r="B471" s="392" t="s">
        <v>1264</v>
      </c>
      <c r="C471" s="399" t="s">
        <v>491</v>
      </c>
      <c r="D471" s="399" t="s">
        <v>118</v>
      </c>
      <c r="E471" s="399" t="s">
        <v>275</v>
      </c>
      <c r="F471" s="5">
        <v>907</v>
      </c>
      <c r="G471" s="10">
        <f>G470</f>
        <v>36</v>
      </c>
      <c r="H471" s="10">
        <f>H470</f>
        <v>36</v>
      </c>
      <c r="I471" s="389">
        <f t="shared" si="78"/>
        <v>100</v>
      </c>
    </row>
    <row r="472" spans="1:9" s="387" customFormat="1" ht="33" customHeight="1" x14ac:dyDescent="0.25">
      <c r="A472" s="396" t="s">
        <v>287</v>
      </c>
      <c r="B472" s="392" t="s">
        <v>1606</v>
      </c>
      <c r="C472" s="399" t="s">
        <v>491</v>
      </c>
      <c r="D472" s="399" t="s">
        <v>118</v>
      </c>
      <c r="E472" s="399"/>
      <c r="F472" s="5"/>
      <c r="G472" s="10">
        <f>G473</f>
        <v>300</v>
      </c>
      <c r="H472" s="10">
        <f>H473</f>
        <v>300</v>
      </c>
      <c r="I472" s="389">
        <f t="shared" si="78"/>
        <v>100</v>
      </c>
    </row>
    <row r="473" spans="1:9" s="387" customFormat="1" ht="33" customHeight="1" x14ac:dyDescent="0.25">
      <c r="A473" s="396" t="s">
        <v>272</v>
      </c>
      <c r="B473" s="392" t="s">
        <v>1606</v>
      </c>
      <c r="C473" s="399" t="s">
        <v>491</v>
      </c>
      <c r="D473" s="399" t="s">
        <v>118</v>
      </c>
      <c r="E473" s="399" t="s">
        <v>273</v>
      </c>
      <c r="F473" s="5"/>
      <c r="G473" s="10">
        <f>G474</f>
        <v>300</v>
      </c>
      <c r="H473" s="10">
        <f>H474</f>
        <v>300</v>
      </c>
      <c r="I473" s="389">
        <f t="shared" si="78"/>
        <v>100</v>
      </c>
    </row>
    <row r="474" spans="1:9" s="387" customFormat="1" ht="21.75" customHeight="1" x14ac:dyDescent="0.25">
      <c r="A474" s="396" t="s">
        <v>274</v>
      </c>
      <c r="B474" s="392" t="s">
        <v>1606</v>
      </c>
      <c r="C474" s="399" t="s">
        <v>491</v>
      </c>
      <c r="D474" s="399" t="s">
        <v>118</v>
      </c>
      <c r="E474" s="399" t="s">
        <v>275</v>
      </c>
      <c r="F474" s="5"/>
      <c r="G474" s="10">
        <f>'Пр.4 ведом.21'!G899</f>
        <v>300</v>
      </c>
      <c r="H474" s="10">
        <f>'Пр.4 ведом.21'!H899</f>
        <v>300</v>
      </c>
      <c r="I474" s="389">
        <f t="shared" si="78"/>
        <v>100</v>
      </c>
    </row>
    <row r="475" spans="1:9" s="387" customFormat="1" ht="33" customHeight="1" x14ac:dyDescent="0.25">
      <c r="A475" s="45" t="s">
        <v>480</v>
      </c>
      <c r="B475" s="392" t="s">
        <v>1606</v>
      </c>
      <c r="C475" s="399" t="s">
        <v>491</v>
      </c>
      <c r="D475" s="399" t="s">
        <v>118</v>
      </c>
      <c r="E475" s="399" t="s">
        <v>275</v>
      </c>
      <c r="F475" s="5">
        <v>907</v>
      </c>
      <c r="G475" s="10">
        <f>G474</f>
        <v>300</v>
      </c>
      <c r="H475" s="10">
        <f>H474</f>
        <v>300</v>
      </c>
      <c r="I475" s="389">
        <f t="shared" si="78"/>
        <v>100</v>
      </c>
    </row>
    <row r="476" spans="1:9" s="191" customFormat="1" ht="36" customHeight="1" x14ac:dyDescent="0.25">
      <c r="A476" s="394" t="s">
        <v>946</v>
      </c>
      <c r="B476" s="395" t="s">
        <v>1265</v>
      </c>
      <c r="C476" s="7"/>
      <c r="D476" s="7"/>
      <c r="E476" s="7"/>
      <c r="F476" s="187"/>
      <c r="G476" s="59">
        <f>G477</f>
        <v>601.79999999999995</v>
      </c>
      <c r="H476" s="59">
        <f>H477</f>
        <v>598.65899999999999</v>
      </c>
      <c r="I476" s="492">
        <f t="shared" si="78"/>
        <v>99.478065802592226</v>
      </c>
    </row>
    <row r="477" spans="1:9" s="191" customFormat="1" ht="18" customHeight="1" x14ac:dyDescent="0.25">
      <c r="A477" s="29" t="s">
        <v>490</v>
      </c>
      <c r="B477" s="392" t="s">
        <v>1265</v>
      </c>
      <c r="C477" s="2">
        <v>11</v>
      </c>
      <c r="D477" s="68"/>
      <c r="E477" s="68"/>
      <c r="F477" s="68"/>
      <c r="G477" s="10">
        <f t="shared" ref="G477:H477" si="79">G478</f>
        <v>601.79999999999995</v>
      </c>
      <c r="H477" s="10">
        <f t="shared" si="79"/>
        <v>598.65899999999999</v>
      </c>
      <c r="I477" s="389">
        <f t="shared" si="78"/>
        <v>99.478065802592226</v>
      </c>
    </row>
    <row r="478" spans="1:9" s="191" customFormat="1" ht="18" customHeight="1" x14ac:dyDescent="0.25">
      <c r="A478" s="29" t="s">
        <v>492</v>
      </c>
      <c r="B478" s="392" t="s">
        <v>1265</v>
      </c>
      <c r="C478" s="399" t="s">
        <v>491</v>
      </c>
      <c r="D478" s="399" t="s">
        <v>118</v>
      </c>
      <c r="E478" s="71"/>
      <c r="F478" s="5"/>
      <c r="G478" s="10">
        <f>G479+G483</f>
        <v>601.79999999999995</v>
      </c>
      <c r="H478" s="10">
        <f>H479+H483</f>
        <v>598.65899999999999</v>
      </c>
      <c r="I478" s="389">
        <f t="shared" si="78"/>
        <v>99.478065802592226</v>
      </c>
    </row>
    <row r="479" spans="1:9" ht="31.7" customHeight="1" x14ac:dyDescent="0.25">
      <c r="A479" s="29" t="s">
        <v>284</v>
      </c>
      <c r="B479" s="392" t="s">
        <v>1303</v>
      </c>
      <c r="C479" s="399" t="s">
        <v>491</v>
      </c>
      <c r="D479" s="399" t="s">
        <v>118</v>
      </c>
      <c r="E479" s="399"/>
      <c r="F479" s="5"/>
      <c r="G479" s="10">
        <f t="shared" ref="G479:H480" si="80">G480</f>
        <v>74</v>
      </c>
      <c r="H479" s="10">
        <f t="shared" si="80"/>
        <v>73.72</v>
      </c>
      <c r="I479" s="389">
        <f t="shared" si="78"/>
        <v>99.621621621621628</v>
      </c>
    </row>
    <row r="480" spans="1:9" ht="31.7" customHeight="1" x14ac:dyDescent="0.25">
      <c r="A480" s="29" t="s">
        <v>272</v>
      </c>
      <c r="B480" s="392" t="s">
        <v>1303</v>
      </c>
      <c r="C480" s="399" t="s">
        <v>491</v>
      </c>
      <c r="D480" s="399" t="s">
        <v>118</v>
      </c>
      <c r="E480" s="399" t="s">
        <v>273</v>
      </c>
      <c r="F480" s="5"/>
      <c r="G480" s="10">
        <f t="shared" si="80"/>
        <v>74</v>
      </c>
      <c r="H480" s="10">
        <f t="shared" si="80"/>
        <v>73.72</v>
      </c>
      <c r="I480" s="389">
        <f t="shared" si="78"/>
        <v>99.621621621621628</v>
      </c>
    </row>
    <row r="481" spans="1:9" ht="15.75" customHeight="1" x14ac:dyDescent="0.25">
      <c r="A481" s="29" t="s">
        <v>274</v>
      </c>
      <c r="B481" s="392" t="s">
        <v>1303</v>
      </c>
      <c r="C481" s="399" t="s">
        <v>491</v>
      </c>
      <c r="D481" s="399" t="s">
        <v>118</v>
      </c>
      <c r="E481" s="399" t="s">
        <v>275</v>
      </c>
      <c r="F481" s="5"/>
      <c r="G481" s="10">
        <f>'Пр.4 ведом.21'!G903</f>
        <v>74</v>
      </c>
      <c r="H481" s="10">
        <f>'Пр.4 ведом.21'!H903</f>
        <v>73.72</v>
      </c>
      <c r="I481" s="389">
        <f t="shared" si="78"/>
        <v>99.621621621621628</v>
      </c>
    </row>
    <row r="482" spans="1:9" s="191" customFormat="1" ht="39.75" customHeight="1" x14ac:dyDescent="0.25">
      <c r="A482" s="45" t="s">
        <v>480</v>
      </c>
      <c r="B482" s="392" t="s">
        <v>1303</v>
      </c>
      <c r="C482" s="399" t="s">
        <v>491</v>
      </c>
      <c r="D482" s="399" t="s">
        <v>118</v>
      </c>
      <c r="E482" s="399" t="s">
        <v>275</v>
      </c>
      <c r="F482" s="5">
        <v>907</v>
      </c>
      <c r="G482" s="10">
        <f>G481</f>
        <v>74</v>
      </c>
      <c r="H482" s="10">
        <f>H481</f>
        <v>73.72</v>
      </c>
      <c r="I482" s="389">
        <f t="shared" si="78"/>
        <v>99.621621621621628</v>
      </c>
    </row>
    <row r="483" spans="1:9" ht="31.5" x14ac:dyDescent="0.25">
      <c r="A483" s="45" t="s">
        <v>764</v>
      </c>
      <c r="B483" s="392" t="s">
        <v>1266</v>
      </c>
      <c r="C483" s="399" t="s">
        <v>491</v>
      </c>
      <c r="D483" s="399" t="s">
        <v>118</v>
      </c>
      <c r="E483" s="399"/>
      <c r="F483" s="5"/>
      <c r="G483" s="10">
        <f t="shared" ref="G483:H484" si="81">G484</f>
        <v>527.79999999999995</v>
      </c>
      <c r="H483" s="10">
        <f t="shared" si="81"/>
        <v>524.93899999999996</v>
      </c>
      <c r="I483" s="389">
        <f t="shared" si="78"/>
        <v>99.457938613111025</v>
      </c>
    </row>
    <row r="484" spans="1:9" ht="31.5" x14ac:dyDescent="0.25">
      <c r="A484" s="31" t="s">
        <v>272</v>
      </c>
      <c r="B484" s="392" t="s">
        <v>1266</v>
      </c>
      <c r="C484" s="399" t="s">
        <v>491</v>
      </c>
      <c r="D484" s="399" t="s">
        <v>118</v>
      </c>
      <c r="E484" s="399" t="s">
        <v>273</v>
      </c>
      <c r="F484" s="5"/>
      <c r="G484" s="10">
        <f t="shared" si="81"/>
        <v>527.79999999999995</v>
      </c>
      <c r="H484" s="10">
        <f t="shared" si="81"/>
        <v>524.93899999999996</v>
      </c>
      <c r="I484" s="389">
        <f t="shared" si="78"/>
        <v>99.457938613111025</v>
      </c>
    </row>
    <row r="485" spans="1:9" ht="15.75" x14ac:dyDescent="0.25">
      <c r="A485" s="31" t="s">
        <v>274</v>
      </c>
      <c r="B485" s="392" t="s">
        <v>1266</v>
      </c>
      <c r="C485" s="399" t="s">
        <v>491</v>
      </c>
      <c r="D485" s="399" t="s">
        <v>118</v>
      </c>
      <c r="E485" s="399" t="s">
        <v>275</v>
      </c>
      <c r="F485" s="5"/>
      <c r="G485" s="10">
        <f>'Пр.4 ведом.21'!G906</f>
        <v>527.79999999999995</v>
      </c>
      <c r="H485" s="10">
        <f>'Пр.4 ведом.21'!H906</f>
        <v>524.93899999999996</v>
      </c>
      <c r="I485" s="389">
        <f t="shared" si="78"/>
        <v>99.457938613111025</v>
      </c>
    </row>
    <row r="486" spans="1:9" s="191" customFormat="1" ht="31.5" x14ac:dyDescent="0.25">
      <c r="A486" s="45" t="s">
        <v>480</v>
      </c>
      <c r="B486" s="392" t="s">
        <v>1266</v>
      </c>
      <c r="C486" s="399" t="s">
        <v>491</v>
      </c>
      <c r="D486" s="399" t="s">
        <v>118</v>
      </c>
      <c r="E486" s="399" t="s">
        <v>275</v>
      </c>
      <c r="F486" s="5">
        <v>907</v>
      </c>
      <c r="G486" s="10">
        <f>G485</f>
        <v>527.79999999999995</v>
      </c>
      <c r="H486" s="10">
        <f>H485</f>
        <v>524.93899999999996</v>
      </c>
      <c r="I486" s="389">
        <f t="shared" si="78"/>
        <v>99.457938613111025</v>
      </c>
    </row>
    <row r="487" spans="1:9" s="191" customFormat="1" ht="47.25" x14ac:dyDescent="0.25">
      <c r="A487" s="394" t="s">
        <v>899</v>
      </c>
      <c r="B487" s="395" t="s">
        <v>1267</v>
      </c>
      <c r="C487" s="7"/>
      <c r="D487" s="7"/>
      <c r="E487" s="7"/>
      <c r="F487" s="187"/>
      <c r="G487" s="59">
        <f>G488</f>
        <v>763.5</v>
      </c>
      <c r="H487" s="59">
        <f>H488</f>
        <v>734.28399999999999</v>
      </c>
      <c r="I487" s="492">
        <f t="shared" si="78"/>
        <v>96.173411918795026</v>
      </c>
    </row>
    <row r="488" spans="1:9" s="191" customFormat="1" ht="15.75" x14ac:dyDescent="0.25">
      <c r="A488" s="29" t="s">
        <v>490</v>
      </c>
      <c r="B488" s="392" t="s">
        <v>1267</v>
      </c>
      <c r="C488" s="2">
        <v>11</v>
      </c>
      <c r="D488" s="68"/>
      <c r="E488" s="68"/>
      <c r="F488" s="68"/>
      <c r="G488" s="10">
        <f t="shared" ref="G488:H488" si="82">G489</f>
        <v>763.5</v>
      </c>
      <c r="H488" s="10">
        <f t="shared" si="82"/>
        <v>734.28399999999999</v>
      </c>
      <c r="I488" s="389">
        <f t="shared" si="78"/>
        <v>96.173411918795026</v>
      </c>
    </row>
    <row r="489" spans="1:9" s="191" customFormat="1" ht="16.5" x14ac:dyDescent="0.25">
      <c r="A489" s="29" t="s">
        <v>492</v>
      </c>
      <c r="B489" s="392" t="s">
        <v>1267</v>
      </c>
      <c r="C489" s="399" t="s">
        <v>491</v>
      </c>
      <c r="D489" s="399" t="s">
        <v>118</v>
      </c>
      <c r="E489" s="71"/>
      <c r="F489" s="5"/>
      <c r="G489" s="10">
        <f t="shared" ref="G489:H491" si="83">G490</f>
        <v>763.5</v>
      </c>
      <c r="H489" s="10">
        <f t="shared" si="83"/>
        <v>734.28399999999999</v>
      </c>
      <c r="I489" s="389">
        <f t="shared" si="78"/>
        <v>96.173411918795026</v>
      </c>
    </row>
    <row r="490" spans="1:9" s="191" customFormat="1" ht="94.5" x14ac:dyDescent="0.25">
      <c r="A490" s="31" t="s">
        <v>464</v>
      </c>
      <c r="B490" s="392" t="s">
        <v>1401</v>
      </c>
      <c r="C490" s="399" t="s">
        <v>491</v>
      </c>
      <c r="D490" s="399" t="s">
        <v>118</v>
      </c>
      <c r="E490" s="399"/>
      <c r="F490" s="5"/>
      <c r="G490" s="10">
        <f t="shared" si="83"/>
        <v>763.5</v>
      </c>
      <c r="H490" s="10">
        <f t="shared" si="83"/>
        <v>734.28399999999999</v>
      </c>
      <c r="I490" s="389">
        <f t="shared" si="78"/>
        <v>96.173411918795026</v>
      </c>
    </row>
    <row r="491" spans="1:9" s="191" customFormat="1" ht="31.5" x14ac:dyDescent="0.25">
      <c r="A491" s="396" t="s">
        <v>272</v>
      </c>
      <c r="B491" s="392" t="s">
        <v>1401</v>
      </c>
      <c r="C491" s="399" t="s">
        <v>491</v>
      </c>
      <c r="D491" s="399" t="s">
        <v>118</v>
      </c>
      <c r="E491" s="399" t="s">
        <v>273</v>
      </c>
      <c r="F491" s="5"/>
      <c r="G491" s="10">
        <f t="shared" si="83"/>
        <v>763.5</v>
      </c>
      <c r="H491" s="10">
        <f t="shared" si="83"/>
        <v>734.28399999999999</v>
      </c>
      <c r="I491" s="389">
        <f t="shared" si="78"/>
        <v>96.173411918795026</v>
      </c>
    </row>
    <row r="492" spans="1:9" s="191" customFormat="1" ht="15.75" x14ac:dyDescent="0.25">
      <c r="A492" s="396" t="s">
        <v>274</v>
      </c>
      <c r="B492" s="392" t="s">
        <v>1401</v>
      </c>
      <c r="C492" s="399" t="s">
        <v>491</v>
      </c>
      <c r="D492" s="399" t="s">
        <v>118</v>
      </c>
      <c r="E492" s="399" t="s">
        <v>275</v>
      </c>
      <c r="F492" s="5"/>
      <c r="G492" s="10">
        <f>'Пр.3 Рд,пр, ЦС,ВР 21'!F1048</f>
        <v>763.5</v>
      </c>
      <c r="H492" s="10">
        <f>'Пр.3 Рд,пр, ЦС,ВР 21'!G1048</f>
        <v>734.28399999999999</v>
      </c>
      <c r="I492" s="389">
        <f t="shared" si="78"/>
        <v>96.173411918795026</v>
      </c>
    </row>
    <row r="493" spans="1:9" s="191" customFormat="1" ht="31.5" x14ac:dyDescent="0.25">
      <c r="A493" s="45" t="s">
        <v>480</v>
      </c>
      <c r="B493" s="392" t="s">
        <v>1401</v>
      </c>
      <c r="C493" s="399" t="s">
        <v>491</v>
      </c>
      <c r="D493" s="399" t="s">
        <v>118</v>
      </c>
      <c r="E493" s="399" t="s">
        <v>275</v>
      </c>
      <c r="F493" s="5">
        <v>907</v>
      </c>
      <c r="G493" s="10">
        <f>G492</f>
        <v>763.5</v>
      </c>
      <c r="H493" s="10">
        <f>H492</f>
        <v>734.28399999999999</v>
      </c>
      <c r="I493" s="389">
        <f t="shared" si="78"/>
        <v>96.173411918795026</v>
      </c>
    </row>
    <row r="494" spans="1:9" s="191" customFormat="1" ht="31.5" x14ac:dyDescent="0.25">
      <c r="A494" s="58" t="s">
        <v>950</v>
      </c>
      <c r="B494" s="7" t="s">
        <v>1269</v>
      </c>
      <c r="C494" s="7"/>
      <c r="D494" s="7"/>
      <c r="E494" s="7"/>
      <c r="F494" s="187"/>
      <c r="G494" s="388">
        <f t="shared" ref="G494:H496" si="84">G495</f>
        <v>2481.6999999999998</v>
      </c>
      <c r="H494" s="388">
        <f t="shared" si="84"/>
        <v>2250.8440000000001</v>
      </c>
      <c r="I494" s="492">
        <f t="shared" si="78"/>
        <v>90.697666921868077</v>
      </c>
    </row>
    <row r="495" spans="1:9" ht="15.75" x14ac:dyDescent="0.25">
      <c r="A495" s="29" t="s">
        <v>490</v>
      </c>
      <c r="B495" s="399" t="s">
        <v>1269</v>
      </c>
      <c r="C495" s="399" t="s">
        <v>491</v>
      </c>
      <c r="D495" s="399"/>
      <c r="E495" s="399"/>
      <c r="F495" s="5"/>
      <c r="G495" s="389">
        <f t="shared" si="84"/>
        <v>2481.6999999999998</v>
      </c>
      <c r="H495" s="389">
        <f t="shared" si="84"/>
        <v>2250.8440000000001</v>
      </c>
      <c r="I495" s="389">
        <f t="shared" si="78"/>
        <v>90.697666921868077</v>
      </c>
    </row>
    <row r="496" spans="1:9" ht="31.5" x14ac:dyDescent="0.25">
      <c r="A496" s="396" t="s">
        <v>500</v>
      </c>
      <c r="B496" s="399" t="s">
        <v>1269</v>
      </c>
      <c r="C496" s="399" t="s">
        <v>491</v>
      </c>
      <c r="D496" s="399" t="s">
        <v>234</v>
      </c>
      <c r="E496" s="399"/>
      <c r="F496" s="5"/>
      <c r="G496" s="389">
        <f t="shared" si="84"/>
        <v>2481.6999999999998</v>
      </c>
      <c r="H496" s="389">
        <f t="shared" si="84"/>
        <v>2250.8440000000001</v>
      </c>
      <c r="I496" s="389">
        <f t="shared" si="78"/>
        <v>90.697666921868077</v>
      </c>
    </row>
    <row r="497" spans="1:9" ht="15.75" x14ac:dyDescent="0.25">
      <c r="A497" s="29" t="s">
        <v>951</v>
      </c>
      <c r="B497" s="399" t="s">
        <v>1270</v>
      </c>
      <c r="C497" s="399" t="s">
        <v>491</v>
      </c>
      <c r="D497" s="399" t="s">
        <v>234</v>
      </c>
      <c r="E497" s="399"/>
      <c r="F497" s="5"/>
      <c r="G497" s="389">
        <f>G498+G501</f>
        <v>2481.6999999999998</v>
      </c>
      <c r="H497" s="389">
        <f>H498+H501</f>
        <v>2250.8440000000001</v>
      </c>
      <c r="I497" s="389">
        <f t="shared" si="78"/>
        <v>90.697666921868077</v>
      </c>
    </row>
    <row r="498" spans="1:9" ht="78.75" x14ac:dyDescent="0.25">
      <c r="A498" s="396" t="s">
        <v>127</v>
      </c>
      <c r="B498" s="399" t="s">
        <v>1270</v>
      </c>
      <c r="C498" s="399" t="s">
        <v>491</v>
      </c>
      <c r="D498" s="399" t="s">
        <v>234</v>
      </c>
      <c r="E498" s="399" t="s">
        <v>128</v>
      </c>
      <c r="F498" s="5"/>
      <c r="G498" s="389">
        <f t="shared" ref="G498:H498" si="85">G499</f>
        <v>1577.9</v>
      </c>
      <c r="H498" s="389">
        <f t="shared" si="85"/>
        <v>1387.4449999999999</v>
      </c>
      <c r="I498" s="389">
        <f t="shared" si="78"/>
        <v>87.929843462830334</v>
      </c>
    </row>
    <row r="499" spans="1:9" ht="24" customHeight="1" x14ac:dyDescent="0.25">
      <c r="A499" s="396" t="s">
        <v>342</v>
      </c>
      <c r="B499" s="399" t="s">
        <v>1270</v>
      </c>
      <c r="C499" s="399" t="s">
        <v>491</v>
      </c>
      <c r="D499" s="399" t="s">
        <v>234</v>
      </c>
      <c r="E499" s="399" t="s">
        <v>209</v>
      </c>
      <c r="F499" s="5"/>
      <c r="G499" s="389">
        <f>'Пр.4 ведом.21'!G955</f>
        <v>1577.9</v>
      </c>
      <c r="H499" s="389">
        <f>'Пр.4 ведом.21'!H955</f>
        <v>1387.4449999999999</v>
      </c>
      <c r="I499" s="389">
        <f t="shared" si="78"/>
        <v>87.929843462830334</v>
      </c>
    </row>
    <row r="500" spans="1:9" s="191" customFormat="1" ht="33" customHeight="1" x14ac:dyDescent="0.25">
      <c r="A500" s="45" t="s">
        <v>480</v>
      </c>
      <c r="B500" s="399" t="s">
        <v>1270</v>
      </c>
      <c r="C500" s="399" t="s">
        <v>491</v>
      </c>
      <c r="D500" s="399" t="s">
        <v>234</v>
      </c>
      <c r="E500" s="399" t="s">
        <v>209</v>
      </c>
      <c r="F500" s="5">
        <v>907</v>
      </c>
      <c r="G500" s="10">
        <f>G499</f>
        <v>1577.9</v>
      </c>
      <c r="H500" s="10">
        <f>H499</f>
        <v>1387.4449999999999</v>
      </c>
      <c r="I500" s="389">
        <f t="shared" si="78"/>
        <v>87.929843462830334</v>
      </c>
    </row>
    <row r="501" spans="1:9" ht="31.5" x14ac:dyDescent="0.25">
      <c r="A501" s="29" t="s">
        <v>131</v>
      </c>
      <c r="B501" s="399" t="s">
        <v>1270</v>
      </c>
      <c r="C501" s="399" t="s">
        <v>491</v>
      </c>
      <c r="D501" s="399" t="s">
        <v>234</v>
      </c>
      <c r="E501" s="399" t="s">
        <v>132</v>
      </c>
      <c r="F501" s="5"/>
      <c r="G501" s="389">
        <f t="shared" ref="G501:H501" si="86">G502</f>
        <v>903.8</v>
      </c>
      <c r="H501" s="389">
        <f t="shared" si="86"/>
        <v>863.399</v>
      </c>
      <c r="I501" s="389">
        <f t="shared" si="78"/>
        <v>95.529873865899546</v>
      </c>
    </row>
    <row r="502" spans="1:9" ht="31.5" x14ac:dyDescent="0.25">
      <c r="A502" s="29" t="s">
        <v>133</v>
      </c>
      <c r="B502" s="399" t="s">
        <v>1270</v>
      </c>
      <c r="C502" s="399" t="s">
        <v>491</v>
      </c>
      <c r="D502" s="399" t="s">
        <v>234</v>
      </c>
      <c r="E502" s="399" t="s">
        <v>134</v>
      </c>
      <c r="F502" s="5"/>
      <c r="G502" s="389">
        <f>'Пр.4 ведом.21'!G957</f>
        <v>903.8</v>
      </c>
      <c r="H502" s="389">
        <f>'Пр.4 ведом.21'!H957</f>
        <v>863.399</v>
      </c>
      <c r="I502" s="389">
        <f t="shared" si="78"/>
        <v>95.529873865899546</v>
      </c>
    </row>
    <row r="503" spans="1:9" ht="31.5" x14ac:dyDescent="0.25">
      <c r="A503" s="45" t="s">
        <v>480</v>
      </c>
      <c r="B503" s="399" t="s">
        <v>1270</v>
      </c>
      <c r="C503" s="399" t="s">
        <v>491</v>
      </c>
      <c r="D503" s="399" t="s">
        <v>234</v>
      </c>
      <c r="E503" s="399" t="s">
        <v>134</v>
      </c>
      <c r="F503" s="5">
        <v>907</v>
      </c>
      <c r="G503" s="10">
        <f>G502</f>
        <v>903.8</v>
      </c>
      <c r="H503" s="10">
        <f>H502</f>
        <v>863.399</v>
      </c>
      <c r="I503" s="389">
        <f t="shared" si="78"/>
        <v>95.529873865899546</v>
      </c>
    </row>
    <row r="504" spans="1:9" s="387" customFormat="1" ht="47.25" x14ac:dyDescent="0.25">
      <c r="A504" s="58" t="s">
        <v>1588</v>
      </c>
      <c r="B504" s="7" t="s">
        <v>1586</v>
      </c>
      <c r="C504" s="7"/>
      <c r="D504" s="7"/>
      <c r="E504" s="7"/>
      <c r="F504" s="187"/>
      <c r="G504" s="388">
        <f t="shared" ref="G504:H507" si="87">G505</f>
        <v>5022.2</v>
      </c>
      <c r="H504" s="388">
        <f t="shared" si="87"/>
        <v>5022.2</v>
      </c>
      <c r="I504" s="492">
        <f t="shared" si="78"/>
        <v>100</v>
      </c>
    </row>
    <row r="505" spans="1:9" s="387" customFormat="1" ht="15.75" x14ac:dyDescent="0.25">
      <c r="A505" s="29" t="s">
        <v>490</v>
      </c>
      <c r="B505" s="399" t="s">
        <v>1586</v>
      </c>
      <c r="C505" s="399" t="s">
        <v>491</v>
      </c>
      <c r="D505" s="399"/>
      <c r="E505" s="399"/>
      <c r="F505" s="5"/>
      <c r="G505" s="389">
        <f t="shared" si="87"/>
        <v>5022.2</v>
      </c>
      <c r="H505" s="389">
        <f t="shared" si="87"/>
        <v>5022.2</v>
      </c>
      <c r="I505" s="389">
        <f t="shared" si="78"/>
        <v>100</v>
      </c>
    </row>
    <row r="506" spans="1:9" s="387" customFormat="1" ht="31.5" x14ac:dyDescent="0.25">
      <c r="A506" s="396" t="s">
        <v>500</v>
      </c>
      <c r="B506" s="399" t="s">
        <v>1586</v>
      </c>
      <c r="C506" s="399" t="s">
        <v>491</v>
      </c>
      <c r="D506" s="399" t="s">
        <v>234</v>
      </c>
      <c r="E506" s="399"/>
      <c r="F506" s="5"/>
      <c r="G506" s="389">
        <f t="shared" si="87"/>
        <v>5022.2</v>
      </c>
      <c r="H506" s="389">
        <f t="shared" si="87"/>
        <v>5022.2</v>
      </c>
      <c r="I506" s="389">
        <f t="shared" si="78"/>
        <v>100</v>
      </c>
    </row>
    <row r="507" spans="1:9" s="387" customFormat="1" ht="47.25" x14ac:dyDescent="0.25">
      <c r="A507" s="31" t="s">
        <v>1589</v>
      </c>
      <c r="B507" s="399" t="s">
        <v>1587</v>
      </c>
      <c r="C507" s="399" t="s">
        <v>491</v>
      </c>
      <c r="D507" s="399" t="s">
        <v>234</v>
      </c>
      <c r="E507" s="399"/>
      <c r="F507" s="5"/>
      <c r="G507" s="389">
        <f t="shared" si="87"/>
        <v>5022.2</v>
      </c>
      <c r="H507" s="389">
        <f t="shared" si="87"/>
        <v>5022.2</v>
      </c>
      <c r="I507" s="389">
        <f t="shared" si="78"/>
        <v>100</v>
      </c>
    </row>
    <row r="508" spans="1:9" s="387" customFormat="1" ht="31.5" x14ac:dyDescent="0.25">
      <c r="A508" s="29" t="s">
        <v>131</v>
      </c>
      <c r="B508" s="399" t="s">
        <v>1587</v>
      </c>
      <c r="C508" s="399" t="s">
        <v>491</v>
      </c>
      <c r="D508" s="399" t="s">
        <v>234</v>
      </c>
      <c r="E508" s="399" t="s">
        <v>132</v>
      </c>
      <c r="F508" s="5"/>
      <c r="G508" s="389">
        <f t="shared" ref="G508:H508" si="88">G509</f>
        <v>5022.2</v>
      </c>
      <c r="H508" s="389">
        <f t="shared" si="88"/>
        <v>5022.2</v>
      </c>
      <c r="I508" s="389">
        <f t="shared" si="78"/>
        <v>100</v>
      </c>
    </row>
    <row r="509" spans="1:9" s="387" customFormat="1" ht="31.5" x14ac:dyDescent="0.25">
      <c r="A509" s="29" t="s">
        <v>133</v>
      </c>
      <c r="B509" s="399" t="s">
        <v>1587</v>
      </c>
      <c r="C509" s="399" t="s">
        <v>491</v>
      </c>
      <c r="D509" s="399" t="s">
        <v>234</v>
      </c>
      <c r="E509" s="399" t="s">
        <v>134</v>
      </c>
      <c r="F509" s="5"/>
      <c r="G509" s="389">
        <f>'Пр.4 ведом.21'!G914</f>
        <v>5022.2</v>
      </c>
      <c r="H509" s="389">
        <f>'Пр.4 ведом.21'!H914</f>
        <v>5022.2</v>
      </c>
      <c r="I509" s="389">
        <f t="shared" si="78"/>
        <v>100</v>
      </c>
    </row>
    <row r="510" spans="1:9" s="387" customFormat="1" ht="31.5" x14ac:dyDescent="0.25">
      <c r="A510" s="45" t="s">
        <v>480</v>
      </c>
      <c r="B510" s="399" t="s">
        <v>1587</v>
      </c>
      <c r="C510" s="399" t="s">
        <v>491</v>
      </c>
      <c r="D510" s="399" t="s">
        <v>234</v>
      </c>
      <c r="E510" s="399" t="s">
        <v>134</v>
      </c>
      <c r="F510" s="5">
        <v>907</v>
      </c>
      <c r="G510" s="10">
        <v>5022.2</v>
      </c>
      <c r="H510" s="10">
        <f>H509</f>
        <v>5022.2</v>
      </c>
      <c r="I510" s="389">
        <f t="shared" si="78"/>
        <v>100</v>
      </c>
    </row>
    <row r="511" spans="1:9" s="191" customFormat="1" ht="63" x14ac:dyDescent="0.25">
      <c r="A511" s="394" t="s">
        <v>1329</v>
      </c>
      <c r="B511" s="395" t="s">
        <v>1268</v>
      </c>
      <c r="C511" s="7"/>
      <c r="D511" s="7"/>
      <c r="E511" s="7"/>
      <c r="F511" s="187"/>
      <c r="G511" s="59">
        <f t="shared" ref="G511:H515" si="89">G512</f>
        <v>769.23</v>
      </c>
      <c r="H511" s="59">
        <f t="shared" si="89"/>
        <v>769.23</v>
      </c>
      <c r="I511" s="492">
        <f t="shared" si="78"/>
        <v>100</v>
      </c>
    </row>
    <row r="512" spans="1:9" s="191" customFormat="1" ht="15.75" x14ac:dyDescent="0.25">
      <c r="A512" s="29" t="s">
        <v>490</v>
      </c>
      <c r="B512" s="392" t="s">
        <v>1268</v>
      </c>
      <c r="C512" s="399" t="s">
        <v>491</v>
      </c>
      <c r="D512" s="399"/>
      <c r="E512" s="399"/>
      <c r="F512" s="5"/>
      <c r="G512" s="10">
        <f t="shared" si="89"/>
        <v>769.23</v>
      </c>
      <c r="H512" s="10">
        <f t="shared" si="89"/>
        <v>769.23</v>
      </c>
      <c r="I512" s="389">
        <f t="shared" si="78"/>
        <v>100</v>
      </c>
    </row>
    <row r="513" spans="1:9" s="191" customFormat="1" ht="15.75" x14ac:dyDescent="0.25">
      <c r="A513" s="29" t="s">
        <v>492</v>
      </c>
      <c r="B513" s="392" t="s">
        <v>1268</v>
      </c>
      <c r="C513" s="399" t="s">
        <v>491</v>
      </c>
      <c r="D513" s="399" t="s">
        <v>118</v>
      </c>
      <c r="E513" s="399"/>
      <c r="F513" s="5"/>
      <c r="G513" s="10">
        <f t="shared" si="89"/>
        <v>769.23</v>
      </c>
      <c r="H513" s="10">
        <f t="shared" si="89"/>
        <v>769.23</v>
      </c>
      <c r="I513" s="389">
        <f t="shared" si="78"/>
        <v>100</v>
      </c>
    </row>
    <row r="514" spans="1:9" s="191" customFormat="1" ht="47.25" x14ac:dyDescent="0.25">
      <c r="A514" s="396" t="s">
        <v>1191</v>
      </c>
      <c r="B514" s="392" t="s">
        <v>1323</v>
      </c>
      <c r="C514" s="399" t="s">
        <v>491</v>
      </c>
      <c r="D514" s="399" t="s">
        <v>118</v>
      </c>
      <c r="E514" s="399"/>
      <c r="F514" s="5"/>
      <c r="G514" s="10">
        <f t="shared" si="89"/>
        <v>769.23</v>
      </c>
      <c r="H514" s="10">
        <f t="shared" si="89"/>
        <v>769.23</v>
      </c>
      <c r="I514" s="389">
        <f t="shared" si="78"/>
        <v>100</v>
      </c>
    </row>
    <row r="515" spans="1:9" s="191" customFormat="1" ht="31.5" x14ac:dyDescent="0.25">
      <c r="A515" s="396" t="s">
        <v>272</v>
      </c>
      <c r="B515" s="392" t="s">
        <v>1323</v>
      </c>
      <c r="C515" s="399" t="s">
        <v>491</v>
      </c>
      <c r="D515" s="399" t="s">
        <v>118</v>
      </c>
      <c r="E515" s="399" t="s">
        <v>273</v>
      </c>
      <c r="F515" s="5"/>
      <c r="G515" s="10">
        <f t="shared" si="89"/>
        <v>769.23</v>
      </c>
      <c r="H515" s="10">
        <f t="shared" si="89"/>
        <v>769.23</v>
      </c>
      <c r="I515" s="389">
        <f t="shared" si="78"/>
        <v>100</v>
      </c>
    </row>
    <row r="516" spans="1:9" s="191" customFormat="1" ht="15.75" x14ac:dyDescent="0.25">
      <c r="A516" s="396" t="s">
        <v>274</v>
      </c>
      <c r="B516" s="392" t="s">
        <v>1323</v>
      </c>
      <c r="C516" s="399" t="s">
        <v>491</v>
      </c>
      <c r="D516" s="399" t="s">
        <v>118</v>
      </c>
      <c r="E516" s="399" t="s">
        <v>275</v>
      </c>
      <c r="F516" s="5"/>
      <c r="G516" s="10">
        <f>'Пр.4 ведом.21'!G918</f>
        <v>769.23</v>
      </c>
      <c r="H516" s="10">
        <f>'Пр.4 ведом.21'!H918</f>
        <v>769.23</v>
      </c>
      <c r="I516" s="389">
        <f t="shared" si="78"/>
        <v>100</v>
      </c>
    </row>
    <row r="517" spans="1:9" s="191" customFormat="1" ht="31.5" x14ac:dyDescent="0.25">
      <c r="A517" s="45" t="s">
        <v>480</v>
      </c>
      <c r="B517" s="392" t="s">
        <v>1323</v>
      </c>
      <c r="C517" s="399" t="s">
        <v>491</v>
      </c>
      <c r="D517" s="399" t="s">
        <v>118</v>
      </c>
      <c r="E517" s="399" t="s">
        <v>275</v>
      </c>
      <c r="F517" s="5">
        <v>907</v>
      </c>
      <c r="G517" s="10">
        <f>G511</f>
        <v>769.23</v>
      </c>
      <c r="H517" s="10">
        <f>H511</f>
        <v>769.23</v>
      </c>
      <c r="I517" s="389">
        <f t="shared" si="78"/>
        <v>100</v>
      </c>
    </row>
    <row r="518" spans="1:9" ht="31.5" x14ac:dyDescent="0.25">
      <c r="A518" s="400" t="s">
        <v>1350</v>
      </c>
      <c r="B518" s="7" t="s">
        <v>267</v>
      </c>
      <c r="C518" s="72"/>
      <c r="D518" s="72"/>
      <c r="E518" s="72"/>
      <c r="F518" s="3"/>
      <c r="G518" s="59">
        <f>G519+G572+G595+G614+G639+G646+G660+G667+G653</f>
        <v>87163.939999999988</v>
      </c>
      <c r="H518" s="59">
        <f>H519+H572+H595+H614+H639+H646+H660+H667+H653</f>
        <v>85267.954999999987</v>
      </c>
      <c r="I518" s="492">
        <f t="shared" si="78"/>
        <v>97.824805762566484</v>
      </c>
    </row>
    <row r="519" spans="1:9" s="191" customFormat="1" ht="38.25" customHeight="1" x14ac:dyDescent="0.25">
      <c r="A519" s="394" t="s">
        <v>1297</v>
      </c>
      <c r="B519" s="395" t="s">
        <v>1201</v>
      </c>
      <c r="C519" s="7"/>
      <c r="D519" s="7"/>
      <c r="E519" s="7"/>
      <c r="F519" s="3"/>
      <c r="G519" s="59">
        <f>G540+G520+G556</f>
        <v>70878.14</v>
      </c>
      <c r="H519" s="59">
        <f>H540+H520+H556</f>
        <v>69749.673999999999</v>
      </c>
      <c r="I519" s="492">
        <f t="shared" si="78"/>
        <v>98.407878649185776</v>
      </c>
    </row>
    <row r="520" spans="1:9" s="191" customFormat="1" ht="18.75" customHeight="1" x14ac:dyDescent="0.25">
      <c r="A520" s="396" t="s">
        <v>263</v>
      </c>
      <c r="B520" s="392" t="s">
        <v>1201</v>
      </c>
      <c r="C520" s="399" t="s">
        <v>264</v>
      </c>
      <c r="D520" s="399"/>
      <c r="E520" s="399"/>
      <c r="F520" s="2"/>
      <c r="G520" s="10">
        <f>G521</f>
        <v>16445.52</v>
      </c>
      <c r="H520" s="10">
        <f>H521</f>
        <v>15891.780999999999</v>
      </c>
      <c r="I520" s="389">
        <f t="shared" si="78"/>
        <v>96.632888470537864</v>
      </c>
    </row>
    <row r="521" spans="1:9" s="191" customFormat="1" ht="19.5" customHeight="1" x14ac:dyDescent="0.25">
      <c r="A521" s="396" t="s">
        <v>265</v>
      </c>
      <c r="B521" s="392" t="s">
        <v>1201</v>
      </c>
      <c r="C521" s="399" t="s">
        <v>264</v>
      </c>
      <c r="D521" s="399" t="s">
        <v>215</v>
      </c>
      <c r="E521" s="399"/>
      <c r="F521" s="2"/>
      <c r="G521" s="10">
        <f>G522+G536+G532</f>
        <v>16445.52</v>
      </c>
      <c r="H521" s="10">
        <f>H522+H536+H532</f>
        <v>15891.780999999999</v>
      </c>
      <c r="I521" s="389">
        <f t="shared" si="78"/>
        <v>96.632888470537864</v>
      </c>
    </row>
    <row r="522" spans="1:9" s="191" customFormat="1" ht="18" customHeight="1" x14ac:dyDescent="0.25">
      <c r="A522" s="396" t="s">
        <v>800</v>
      </c>
      <c r="B522" s="392" t="s">
        <v>1202</v>
      </c>
      <c r="C522" s="399" t="s">
        <v>264</v>
      </c>
      <c r="D522" s="399" t="s">
        <v>215</v>
      </c>
      <c r="E522" s="399"/>
      <c r="F522" s="2"/>
      <c r="G522" s="10">
        <f>G523+G526+G529</f>
        <v>8029.82</v>
      </c>
      <c r="H522" s="10">
        <f>H523+H526+H529</f>
        <v>7943.8429999999998</v>
      </c>
      <c r="I522" s="389">
        <f t="shared" si="78"/>
        <v>98.929278613966446</v>
      </c>
    </row>
    <row r="523" spans="1:9" s="191" customFormat="1" ht="81" customHeight="1" x14ac:dyDescent="0.25">
      <c r="A523" s="396" t="s">
        <v>127</v>
      </c>
      <c r="B523" s="392" t="s">
        <v>1202</v>
      </c>
      <c r="C523" s="399" t="s">
        <v>264</v>
      </c>
      <c r="D523" s="399" t="s">
        <v>215</v>
      </c>
      <c r="E523" s="392" t="s">
        <v>128</v>
      </c>
      <c r="F523" s="2"/>
      <c r="G523" s="10">
        <f>G524</f>
        <v>6013.12</v>
      </c>
      <c r="H523" s="10">
        <f>H524</f>
        <v>6013.0259999999998</v>
      </c>
      <c r="I523" s="389">
        <f t="shared" si="78"/>
        <v>99.998436751636419</v>
      </c>
    </row>
    <row r="524" spans="1:9" s="191" customFormat="1" ht="20.25" customHeight="1" x14ac:dyDescent="0.25">
      <c r="A524" s="46" t="s">
        <v>342</v>
      </c>
      <c r="B524" s="392" t="s">
        <v>1202</v>
      </c>
      <c r="C524" s="399" t="s">
        <v>264</v>
      </c>
      <c r="D524" s="399" t="s">
        <v>215</v>
      </c>
      <c r="E524" s="392" t="s">
        <v>209</v>
      </c>
      <c r="F524" s="2"/>
      <c r="G524" s="10">
        <f>'Пр.4 ведом.21'!G324</f>
        <v>6013.12</v>
      </c>
      <c r="H524" s="10">
        <f>'Пр.4 ведом.21'!H324</f>
        <v>6013.0259999999998</v>
      </c>
      <c r="I524" s="389">
        <f t="shared" si="78"/>
        <v>99.998436751636419</v>
      </c>
    </row>
    <row r="525" spans="1:9" s="191" customFormat="1" ht="51.75" customHeight="1" x14ac:dyDescent="0.25">
      <c r="A525" s="45" t="s">
        <v>261</v>
      </c>
      <c r="B525" s="392" t="s">
        <v>1202</v>
      </c>
      <c r="C525" s="399" t="s">
        <v>264</v>
      </c>
      <c r="D525" s="399" t="s">
        <v>215</v>
      </c>
      <c r="E525" s="392" t="s">
        <v>209</v>
      </c>
      <c r="F525" s="2">
        <v>903</v>
      </c>
      <c r="G525" s="10">
        <f>G524</f>
        <v>6013.12</v>
      </c>
      <c r="H525" s="10">
        <f>H524</f>
        <v>6013.0259999999998</v>
      </c>
      <c r="I525" s="389">
        <f t="shared" si="78"/>
        <v>99.998436751636419</v>
      </c>
    </row>
    <row r="526" spans="1:9" s="191" customFormat="1" ht="38.25" customHeight="1" x14ac:dyDescent="0.25">
      <c r="A526" s="396" t="s">
        <v>131</v>
      </c>
      <c r="B526" s="392" t="s">
        <v>1202</v>
      </c>
      <c r="C526" s="399" t="s">
        <v>264</v>
      </c>
      <c r="D526" s="399" t="s">
        <v>215</v>
      </c>
      <c r="E526" s="392" t="s">
        <v>132</v>
      </c>
      <c r="F526" s="2"/>
      <c r="G526" s="10">
        <f>G527</f>
        <v>1962.3</v>
      </c>
      <c r="H526" s="10">
        <f>H527</f>
        <v>1876.451</v>
      </c>
      <c r="I526" s="389">
        <f t="shared" si="78"/>
        <v>95.625082810987109</v>
      </c>
    </row>
    <row r="527" spans="1:9" s="191" customFormat="1" ht="33.75" customHeight="1" x14ac:dyDescent="0.25">
      <c r="A527" s="396" t="s">
        <v>133</v>
      </c>
      <c r="B527" s="392" t="s">
        <v>1202</v>
      </c>
      <c r="C527" s="399" t="s">
        <v>264</v>
      </c>
      <c r="D527" s="399" t="s">
        <v>215</v>
      </c>
      <c r="E527" s="392" t="s">
        <v>134</v>
      </c>
      <c r="F527" s="2"/>
      <c r="G527" s="10">
        <f>'Пр.4 ведом.21'!G326</f>
        <v>1962.3</v>
      </c>
      <c r="H527" s="10">
        <f>'Пр.4 ведом.21'!H326</f>
        <v>1876.451</v>
      </c>
      <c r="I527" s="389">
        <f t="shared" si="78"/>
        <v>95.625082810987109</v>
      </c>
    </row>
    <row r="528" spans="1:9" s="191" customFormat="1" ht="55.5" customHeight="1" x14ac:dyDescent="0.25">
      <c r="A528" s="45" t="s">
        <v>261</v>
      </c>
      <c r="B528" s="392" t="s">
        <v>1202</v>
      </c>
      <c r="C528" s="399" t="s">
        <v>264</v>
      </c>
      <c r="D528" s="399" t="s">
        <v>215</v>
      </c>
      <c r="E528" s="392" t="s">
        <v>134</v>
      </c>
      <c r="F528" s="2">
        <v>903</v>
      </c>
      <c r="G528" s="10">
        <f>G527</f>
        <v>1962.3</v>
      </c>
      <c r="H528" s="10">
        <f>H527</f>
        <v>1876.451</v>
      </c>
      <c r="I528" s="389">
        <f t="shared" si="78"/>
        <v>95.625082810987109</v>
      </c>
    </row>
    <row r="529" spans="1:9" s="191" customFormat="1" ht="19.5" customHeight="1" x14ac:dyDescent="0.25">
      <c r="A529" s="396" t="s">
        <v>135</v>
      </c>
      <c r="B529" s="392" t="s">
        <v>1202</v>
      </c>
      <c r="C529" s="399" t="s">
        <v>264</v>
      </c>
      <c r="D529" s="399" t="s">
        <v>215</v>
      </c>
      <c r="E529" s="392" t="s">
        <v>145</v>
      </c>
      <c r="F529" s="2"/>
      <c r="G529" s="10">
        <f>G530</f>
        <v>54.400000000000006</v>
      </c>
      <c r="H529" s="10">
        <f>H530</f>
        <v>54.366</v>
      </c>
      <c r="I529" s="389">
        <f t="shared" ref="I529:I592" si="90">H529/G529*100</f>
        <v>99.937499999999986</v>
      </c>
    </row>
    <row r="530" spans="1:9" s="191" customFormat="1" ht="17.45" customHeight="1" x14ac:dyDescent="0.25">
      <c r="A530" s="396" t="s">
        <v>704</v>
      </c>
      <c r="B530" s="392" t="s">
        <v>1202</v>
      </c>
      <c r="C530" s="399" t="s">
        <v>264</v>
      </c>
      <c r="D530" s="399" t="s">
        <v>215</v>
      </c>
      <c r="E530" s="392" t="s">
        <v>138</v>
      </c>
      <c r="F530" s="2"/>
      <c r="G530" s="10">
        <f>'Пр.4 ведом.21'!G328</f>
        <v>54.400000000000006</v>
      </c>
      <c r="H530" s="10">
        <f>'Пр.4 ведом.21'!H328</f>
        <v>54.366</v>
      </c>
      <c r="I530" s="389">
        <f t="shared" si="90"/>
        <v>99.937499999999986</v>
      </c>
    </row>
    <row r="531" spans="1:9" s="191" customFormat="1" ht="56.25" customHeight="1" x14ac:dyDescent="0.25">
      <c r="A531" s="45" t="s">
        <v>261</v>
      </c>
      <c r="B531" s="392" t="s">
        <v>1202</v>
      </c>
      <c r="C531" s="399" t="s">
        <v>264</v>
      </c>
      <c r="D531" s="399" t="s">
        <v>215</v>
      </c>
      <c r="E531" s="392" t="s">
        <v>138</v>
      </c>
      <c r="F531" s="2">
        <v>903</v>
      </c>
      <c r="G531" s="10">
        <f>G530</f>
        <v>54.400000000000006</v>
      </c>
      <c r="H531" s="10">
        <f>H530</f>
        <v>54.366</v>
      </c>
      <c r="I531" s="389">
        <f t="shared" si="90"/>
        <v>99.937499999999986</v>
      </c>
    </row>
    <row r="532" spans="1:9" s="387" customFormat="1" ht="47.25" x14ac:dyDescent="0.25">
      <c r="A532" s="396" t="s">
        <v>1660</v>
      </c>
      <c r="B532" s="392" t="s">
        <v>1661</v>
      </c>
      <c r="C532" s="399" t="s">
        <v>264</v>
      </c>
      <c r="D532" s="399" t="s">
        <v>215</v>
      </c>
      <c r="E532" s="392"/>
      <c r="F532" s="2"/>
      <c r="G532" s="10">
        <f>G533</f>
        <v>182.9</v>
      </c>
      <c r="H532" s="10">
        <f>H533</f>
        <v>182.9</v>
      </c>
      <c r="I532" s="389">
        <f t="shared" si="90"/>
        <v>100</v>
      </c>
    </row>
    <row r="533" spans="1:9" s="387" customFormat="1" ht="78.75" x14ac:dyDescent="0.25">
      <c r="A533" s="396" t="s">
        <v>127</v>
      </c>
      <c r="B533" s="392" t="s">
        <v>1661</v>
      </c>
      <c r="C533" s="399" t="s">
        <v>264</v>
      </c>
      <c r="D533" s="399" t="s">
        <v>215</v>
      </c>
      <c r="E533" s="392" t="s">
        <v>128</v>
      </c>
      <c r="F533" s="2"/>
      <c r="G533" s="10">
        <f>G534</f>
        <v>182.9</v>
      </c>
      <c r="H533" s="10">
        <f>H534</f>
        <v>182.9</v>
      </c>
      <c r="I533" s="389">
        <f t="shared" si="90"/>
        <v>100</v>
      </c>
    </row>
    <row r="534" spans="1:9" s="387" customFormat="1" ht="15.75" x14ac:dyDescent="0.25">
      <c r="A534" s="46" t="s">
        <v>342</v>
      </c>
      <c r="B534" s="392" t="s">
        <v>1661</v>
      </c>
      <c r="C534" s="399" t="s">
        <v>264</v>
      </c>
      <c r="D534" s="399" t="s">
        <v>215</v>
      </c>
      <c r="E534" s="392" t="s">
        <v>209</v>
      </c>
      <c r="F534" s="2"/>
      <c r="G534" s="10">
        <f>'Пр.4 ведом.21'!G331</f>
        <v>182.9</v>
      </c>
      <c r="H534" s="10">
        <f>'Пр.4 ведом.21'!H331</f>
        <v>182.9</v>
      </c>
      <c r="I534" s="389">
        <f t="shared" si="90"/>
        <v>100</v>
      </c>
    </row>
    <row r="535" spans="1:9" s="387" customFormat="1" ht="47.25" x14ac:dyDescent="0.25">
      <c r="A535" s="45" t="s">
        <v>261</v>
      </c>
      <c r="B535" s="392" t="s">
        <v>1661</v>
      </c>
      <c r="C535" s="399" t="s">
        <v>264</v>
      </c>
      <c r="D535" s="399" t="s">
        <v>215</v>
      </c>
      <c r="E535" s="392" t="s">
        <v>209</v>
      </c>
      <c r="F535" s="2">
        <v>903</v>
      </c>
      <c r="G535" s="10">
        <f>G534</f>
        <v>182.9</v>
      </c>
      <c r="H535" s="10">
        <f>H534</f>
        <v>182.9</v>
      </c>
      <c r="I535" s="389">
        <f t="shared" si="90"/>
        <v>100</v>
      </c>
    </row>
    <row r="536" spans="1:9" s="191" customFormat="1" ht="31.5" x14ac:dyDescent="0.25">
      <c r="A536" s="31" t="s">
        <v>1490</v>
      </c>
      <c r="B536" s="392" t="s">
        <v>1462</v>
      </c>
      <c r="C536" s="399" t="s">
        <v>264</v>
      </c>
      <c r="D536" s="399" t="s">
        <v>215</v>
      </c>
      <c r="E536" s="392"/>
      <c r="F536" s="2"/>
      <c r="G536" s="10">
        <f>G537</f>
        <v>8232.8000000000011</v>
      </c>
      <c r="H536" s="10">
        <f>H537</f>
        <v>7765.0379999999996</v>
      </c>
      <c r="I536" s="389">
        <f t="shared" si="90"/>
        <v>94.31831211738411</v>
      </c>
    </row>
    <row r="537" spans="1:9" s="191" customFormat="1" ht="78.75" x14ac:dyDescent="0.25">
      <c r="A537" s="396" t="s">
        <v>127</v>
      </c>
      <c r="B537" s="392" t="s">
        <v>1462</v>
      </c>
      <c r="C537" s="399" t="s">
        <v>264</v>
      </c>
      <c r="D537" s="399" t="s">
        <v>215</v>
      </c>
      <c r="E537" s="392" t="s">
        <v>128</v>
      </c>
      <c r="F537" s="2"/>
      <c r="G537" s="10">
        <f>G538</f>
        <v>8232.8000000000011</v>
      </c>
      <c r="H537" s="10">
        <f>H538</f>
        <v>7765.0379999999996</v>
      </c>
      <c r="I537" s="389">
        <f t="shared" si="90"/>
        <v>94.31831211738411</v>
      </c>
    </row>
    <row r="538" spans="1:9" s="191" customFormat="1" ht="15.75" x14ac:dyDescent="0.25">
      <c r="A538" s="396" t="s">
        <v>208</v>
      </c>
      <c r="B538" s="392" t="s">
        <v>1462</v>
      </c>
      <c r="C538" s="399" t="s">
        <v>264</v>
      </c>
      <c r="D538" s="399" t="s">
        <v>215</v>
      </c>
      <c r="E538" s="392" t="s">
        <v>209</v>
      </c>
      <c r="F538" s="2"/>
      <c r="G538" s="10">
        <f>'Пр.4 ведом.21'!G334</f>
        <v>8232.8000000000011</v>
      </c>
      <c r="H538" s="10">
        <f>'Пр.4 ведом.21'!H334</f>
        <v>7765.0379999999996</v>
      </c>
      <c r="I538" s="389">
        <f t="shared" si="90"/>
        <v>94.31831211738411</v>
      </c>
    </row>
    <row r="539" spans="1:9" s="191" customFormat="1" ht="47.25" x14ac:dyDescent="0.25">
      <c r="A539" s="45" t="s">
        <v>261</v>
      </c>
      <c r="B539" s="392" t="s">
        <v>1462</v>
      </c>
      <c r="C539" s="399" t="s">
        <v>264</v>
      </c>
      <c r="D539" s="399" t="s">
        <v>215</v>
      </c>
      <c r="E539" s="392" t="s">
        <v>209</v>
      </c>
      <c r="F539" s="2">
        <v>903</v>
      </c>
      <c r="G539" s="10">
        <f>G536</f>
        <v>8232.8000000000011</v>
      </c>
      <c r="H539" s="10">
        <f>H536</f>
        <v>7765.0379999999996</v>
      </c>
      <c r="I539" s="389">
        <f t="shared" si="90"/>
        <v>94.31831211738411</v>
      </c>
    </row>
    <row r="540" spans="1:9" ht="15.75" x14ac:dyDescent="0.25">
      <c r="A540" s="73" t="s">
        <v>298</v>
      </c>
      <c r="B540" s="392" t="s">
        <v>1201</v>
      </c>
      <c r="C540" s="399" t="s">
        <v>299</v>
      </c>
      <c r="D540" s="73"/>
      <c r="E540" s="73"/>
      <c r="F540" s="2"/>
      <c r="G540" s="10">
        <f>G541</f>
        <v>49138.27</v>
      </c>
      <c r="H540" s="10">
        <f>H541</f>
        <v>48572.526000000005</v>
      </c>
      <c r="I540" s="389">
        <f t="shared" si="90"/>
        <v>98.848669275495467</v>
      </c>
    </row>
    <row r="541" spans="1:9" ht="15.75" x14ac:dyDescent="0.25">
      <c r="A541" s="73" t="s">
        <v>300</v>
      </c>
      <c r="B541" s="392" t="s">
        <v>1201</v>
      </c>
      <c r="C541" s="399" t="s">
        <v>299</v>
      </c>
      <c r="D541" s="399" t="s">
        <v>118</v>
      </c>
      <c r="E541" s="73"/>
      <c r="F541" s="2"/>
      <c r="G541" s="10">
        <f>G542+G552</f>
        <v>49138.27</v>
      </c>
      <c r="H541" s="10">
        <f>H542+H552</f>
        <v>48572.526000000005</v>
      </c>
      <c r="I541" s="389">
        <f t="shared" si="90"/>
        <v>98.848669275495467</v>
      </c>
    </row>
    <row r="542" spans="1:9" ht="15.75" x14ac:dyDescent="0.25">
      <c r="A542" s="396" t="s">
        <v>800</v>
      </c>
      <c r="B542" s="392" t="s">
        <v>1202</v>
      </c>
      <c r="C542" s="399" t="s">
        <v>299</v>
      </c>
      <c r="D542" s="399" t="s">
        <v>118</v>
      </c>
      <c r="E542" s="399"/>
      <c r="F542" s="2"/>
      <c r="G542" s="10">
        <f>G543+G546+G549</f>
        <v>13252.969999999996</v>
      </c>
      <c r="H542" s="10">
        <f>H543+H546+H549</f>
        <v>13180.616</v>
      </c>
      <c r="I542" s="389">
        <f t="shared" si="90"/>
        <v>99.454054449681877</v>
      </c>
    </row>
    <row r="543" spans="1:9" ht="78.75" x14ac:dyDescent="0.25">
      <c r="A543" s="396" t="s">
        <v>127</v>
      </c>
      <c r="B543" s="392" t="s">
        <v>1202</v>
      </c>
      <c r="C543" s="399" t="s">
        <v>299</v>
      </c>
      <c r="D543" s="399" t="s">
        <v>118</v>
      </c>
      <c r="E543" s="399" t="s">
        <v>128</v>
      </c>
      <c r="F543" s="2"/>
      <c r="G543" s="10">
        <f>G544</f>
        <v>2811.87</v>
      </c>
      <c r="H543" s="10">
        <f>H544</f>
        <v>2785.991</v>
      </c>
      <c r="I543" s="389">
        <f t="shared" si="90"/>
        <v>99.079651619740602</v>
      </c>
    </row>
    <row r="544" spans="1:9" ht="15.75" x14ac:dyDescent="0.25">
      <c r="A544" s="396" t="s">
        <v>208</v>
      </c>
      <c r="B544" s="392" t="s">
        <v>1202</v>
      </c>
      <c r="C544" s="399" t="s">
        <v>299</v>
      </c>
      <c r="D544" s="399" t="s">
        <v>118</v>
      </c>
      <c r="E544" s="399" t="s">
        <v>209</v>
      </c>
      <c r="F544" s="2"/>
      <c r="G544" s="10">
        <f>'Пр.4 ведом.21'!G402</f>
        <v>2811.87</v>
      </c>
      <c r="H544" s="10">
        <f>'Пр.4 ведом.21'!H402</f>
        <v>2785.991</v>
      </c>
      <c r="I544" s="389">
        <f t="shared" si="90"/>
        <v>99.079651619740602</v>
      </c>
    </row>
    <row r="545" spans="1:9" s="191" customFormat="1" ht="47.25" x14ac:dyDescent="0.25">
      <c r="A545" s="45" t="s">
        <v>261</v>
      </c>
      <c r="B545" s="392" t="s">
        <v>1202</v>
      </c>
      <c r="C545" s="399" t="s">
        <v>299</v>
      </c>
      <c r="D545" s="399" t="s">
        <v>118</v>
      </c>
      <c r="E545" s="399" t="s">
        <v>209</v>
      </c>
      <c r="F545" s="2">
        <v>903</v>
      </c>
      <c r="G545" s="10">
        <f>G544</f>
        <v>2811.87</v>
      </c>
      <c r="H545" s="10">
        <f>H544</f>
        <v>2785.991</v>
      </c>
      <c r="I545" s="389">
        <f t="shared" si="90"/>
        <v>99.079651619740602</v>
      </c>
    </row>
    <row r="546" spans="1:9" ht="31.5" x14ac:dyDescent="0.25">
      <c r="A546" s="396" t="s">
        <v>131</v>
      </c>
      <c r="B546" s="392" t="s">
        <v>1202</v>
      </c>
      <c r="C546" s="399" t="s">
        <v>299</v>
      </c>
      <c r="D546" s="399" t="s">
        <v>118</v>
      </c>
      <c r="E546" s="399" t="s">
        <v>132</v>
      </c>
      <c r="F546" s="2"/>
      <c r="G546" s="10">
        <f>G547</f>
        <v>10301.199999999997</v>
      </c>
      <c r="H546" s="10">
        <f>H547</f>
        <v>10254.966</v>
      </c>
      <c r="I546" s="389">
        <f t="shared" si="90"/>
        <v>99.551178503475356</v>
      </c>
    </row>
    <row r="547" spans="1:9" ht="31.5" x14ac:dyDescent="0.25">
      <c r="A547" s="396" t="s">
        <v>133</v>
      </c>
      <c r="B547" s="392" t="s">
        <v>1202</v>
      </c>
      <c r="C547" s="399" t="s">
        <v>299</v>
      </c>
      <c r="D547" s="399" t="s">
        <v>118</v>
      </c>
      <c r="E547" s="399" t="s">
        <v>134</v>
      </c>
      <c r="F547" s="2"/>
      <c r="G547" s="10">
        <f>'Пр.4 ведом.21'!G404</f>
        <v>10301.199999999997</v>
      </c>
      <c r="H547" s="10">
        <f>'Пр.4 ведом.21'!H404</f>
        <v>10254.966</v>
      </c>
      <c r="I547" s="389">
        <f t="shared" si="90"/>
        <v>99.551178503475356</v>
      </c>
    </row>
    <row r="548" spans="1:9" s="191" customFormat="1" ht="47.25" x14ac:dyDescent="0.25">
      <c r="A548" s="45" t="s">
        <v>261</v>
      </c>
      <c r="B548" s="392" t="s">
        <v>1202</v>
      </c>
      <c r="C548" s="399" t="s">
        <v>299</v>
      </c>
      <c r="D548" s="399" t="s">
        <v>118</v>
      </c>
      <c r="E548" s="399" t="s">
        <v>134</v>
      </c>
      <c r="F548" s="2">
        <v>903</v>
      </c>
      <c r="G548" s="10">
        <f>G547</f>
        <v>10301.199999999997</v>
      </c>
      <c r="H548" s="10">
        <f>H547</f>
        <v>10254.966</v>
      </c>
      <c r="I548" s="389">
        <f t="shared" si="90"/>
        <v>99.551178503475356</v>
      </c>
    </row>
    <row r="549" spans="1:9" ht="15.75" customHeight="1" x14ac:dyDescent="0.25">
      <c r="A549" s="396" t="s">
        <v>135</v>
      </c>
      <c r="B549" s="392" t="s">
        <v>1202</v>
      </c>
      <c r="C549" s="399" t="s">
        <v>299</v>
      </c>
      <c r="D549" s="399" t="s">
        <v>118</v>
      </c>
      <c r="E549" s="399" t="s">
        <v>145</v>
      </c>
      <c r="F549" s="2"/>
      <c r="G549" s="10">
        <f>G550</f>
        <v>139.9</v>
      </c>
      <c r="H549" s="10">
        <f>H550</f>
        <v>139.65899999999999</v>
      </c>
      <c r="I549" s="389">
        <f t="shared" si="90"/>
        <v>99.827734095782688</v>
      </c>
    </row>
    <row r="550" spans="1:9" ht="15.75" customHeight="1" x14ac:dyDescent="0.25">
      <c r="A550" s="396" t="s">
        <v>137</v>
      </c>
      <c r="B550" s="392" t="s">
        <v>1202</v>
      </c>
      <c r="C550" s="399" t="s">
        <v>299</v>
      </c>
      <c r="D550" s="399" t="s">
        <v>118</v>
      </c>
      <c r="E550" s="399" t="s">
        <v>138</v>
      </c>
      <c r="F550" s="2"/>
      <c r="G550" s="10">
        <f>'Пр.4 ведом.21'!G406</f>
        <v>139.9</v>
      </c>
      <c r="H550" s="10">
        <f>'Пр.4 ведом.21'!H406</f>
        <v>139.65899999999999</v>
      </c>
      <c r="I550" s="389">
        <f t="shared" si="90"/>
        <v>99.827734095782688</v>
      </c>
    </row>
    <row r="551" spans="1:9" s="191" customFormat="1" ht="50.25" customHeight="1" x14ac:dyDescent="0.25">
      <c r="A551" s="45" t="s">
        <v>261</v>
      </c>
      <c r="B551" s="392" t="s">
        <v>1202</v>
      </c>
      <c r="C551" s="399" t="s">
        <v>299</v>
      </c>
      <c r="D551" s="399" t="s">
        <v>118</v>
      </c>
      <c r="E551" s="399" t="s">
        <v>138</v>
      </c>
      <c r="F551" s="2">
        <v>903</v>
      </c>
      <c r="G551" s="10">
        <f>G550</f>
        <v>139.9</v>
      </c>
      <c r="H551" s="10">
        <f>H550</f>
        <v>139.65899999999999</v>
      </c>
      <c r="I551" s="389">
        <f t="shared" si="90"/>
        <v>99.827734095782688</v>
      </c>
    </row>
    <row r="552" spans="1:9" s="191" customFormat="1" ht="31.5" x14ac:dyDescent="0.25">
      <c r="A552" s="31" t="s">
        <v>1490</v>
      </c>
      <c r="B552" s="392" t="s">
        <v>1462</v>
      </c>
      <c r="C552" s="399" t="s">
        <v>299</v>
      </c>
      <c r="D552" s="399" t="s">
        <v>118</v>
      </c>
      <c r="E552" s="392"/>
      <c r="F552" s="2"/>
      <c r="G552" s="10">
        <f>G553</f>
        <v>35885.300000000003</v>
      </c>
      <c r="H552" s="10">
        <f>H553</f>
        <v>35391.910000000003</v>
      </c>
      <c r="I552" s="389">
        <f t="shared" si="90"/>
        <v>98.625091611328315</v>
      </c>
    </row>
    <row r="553" spans="1:9" s="191" customFormat="1" ht="78.75" x14ac:dyDescent="0.25">
      <c r="A553" s="396" t="s">
        <v>127</v>
      </c>
      <c r="B553" s="392" t="s">
        <v>1462</v>
      </c>
      <c r="C553" s="399" t="s">
        <v>299</v>
      </c>
      <c r="D553" s="399" t="s">
        <v>118</v>
      </c>
      <c r="E553" s="392" t="s">
        <v>128</v>
      </c>
      <c r="F553" s="2"/>
      <c r="G553" s="10">
        <f>G554</f>
        <v>35885.300000000003</v>
      </c>
      <c r="H553" s="10">
        <f>H554</f>
        <v>35391.910000000003</v>
      </c>
      <c r="I553" s="389">
        <f t="shared" si="90"/>
        <v>98.625091611328315</v>
      </c>
    </row>
    <row r="554" spans="1:9" s="191" customFormat="1" ht="15.75" x14ac:dyDescent="0.25">
      <c r="A554" s="396" t="s">
        <v>208</v>
      </c>
      <c r="B554" s="392" t="s">
        <v>1462</v>
      </c>
      <c r="C554" s="399" t="s">
        <v>299</v>
      </c>
      <c r="D554" s="399" t="s">
        <v>118</v>
      </c>
      <c r="E554" s="392" t="s">
        <v>209</v>
      </c>
      <c r="F554" s="2"/>
      <c r="G554" s="10">
        <f>'Пр.4 ведом.21'!G409</f>
        <v>35885.300000000003</v>
      </c>
      <c r="H554" s="10">
        <f>'Пр.4 ведом.21'!H409</f>
        <v>35391.910000000003</v>
      </c>
      <c r="I554" s="389">
        <f t="shared" si="90"/>
        <v>98.625091611328315</v>
      </c>
    </row>
    <row r="555" spans="1:9" s="191" customFormat="1" ht="47.25" x14ac:dyDescent="0.25">
      <c r="A555" s="45" t="s">
        <v>261</v>
      </c>
      <c r="B555" s="392" t="s">
        <v>1462</v>
      </c>
      <c r="C555" s="399" t="s">
        <v>299</v>
      </c>
      <c r="D555" s="399" t="s">
        <v>118</v>
      </c>
      <c r="E555" s="392" t="s">
        <v>209</v>
      </c>
      <c r="F555" s="2">
        <v>903</v>
      </c>
      <c r="G555" s="10">
        <f>G552</f>
        <v>35885.300000000003</v>
      </c>
      <c r="H555" s="10">
        <f>H552</f>
        <v>35391.910000000003</v>
      </c>
      <c r="I555" s="389">
        <f t="shared" si="90"/>
        <v>98.625091611328315</v>
      </c>
    </row>
    <row r="556" spans="1:9" s="191" customFormat="1" ht="19.5" customHeight="1" x14ac:dyDescent="0.25">
      <c r="A556" s="396" t="s">
        <v>582</v>
      </c>
      <c r="B556" s="392" t="s">
        <v>1201</v>
      </c>
      <c r="C556" s="399" t="s">
        <v>238</v>
      </c>
      <c r="D556" s="73"/>
      <c r="E556" s="73"/>
      <c r="F556" s="2"/>
      <c r="G556" s="10">
        <f>G557</f>
        <v>5294.35</v>
      </c>
      <c r="H556" s="10">
        <f>H557</f>
        <v>5285.3670000000002</v>
      </c>
      <c r="I556" s="389">
        <f t="shared" si="90"/>
        <v>99.83032855780219</v>
      </c>
    </row>
    <row r="557" spans="1:9" s="191" customFormat="1" ht="23.25" customHeight="1" x14ac:dyDescent="0.25">
      <c r="A557" s="396" t="s">
        <v>583</v>
      </c>
      <c r="B557" s="392" t="s">
        <v>1201</v>
      </c>
      <c r="C557" s="399" t="s">
        <v>238</v>
      </c>
      <c r="D557" s="399" t="s">
        <v>213</v>
      </c>
      <c r="E557" s="73"/>
      <c r="F557" s="2"/>
      <c r="G557" s="10">
        <f>G558+G568</f>
        <v>5294.35</v>
      </c>
      <c r="H557" s="10">
        <f>H558+H568</f>
        <v>5285.3670000000002</v>
      </c>
      <c r="I557" s="389">
        <f t="shared" si="90"/>
        <v>99.83032855780219</v>
      </c>
    </row>
    <row r="558" spans="1:9" s="191" customFormat="1" ht="20.25" customHeight="1" x14ac:dyDescent="0.25">
      <c r="A558" s="396" t="s">
        <v>800</v>
      </c>
      <c r="B558" s="392" t="s">
        <v>1202</v>
      </c>
      <c r="C558" s="399" t="s">
        <v>238</v>
      </c>
      <c r="D558" s="399" t="s">
        <v>213</v>
      </c>
      <c r="E558" s="399"/>
      <c r="F558" s="2"/>
      <c r="G558" s="10">
        <f>G559+G562+G565</f>
        <v>5176.8</v>
      </c>
      <c r="H558" s="10">
        <f>H559+H562+H565</f>
        <v>5167.817</v>
      </c>
      <c r="I558" s="389">
        <f t="shared" si="90"/>
        <v>99.826475815175399</v>
      </c>
    </row>
    <row r="559" spans="1:9" s="191" customFormat="1" ht="79.5" customHeight="1" x14ac:dyDescent="0.25">
      <c r="A559" s="396" t="s">
        <v>127</v>
      </c>
      <c r="B559" s="392" t="s">
        <v>1202</v>
      </c>
      <c r="C559" s="399" t="s">
        <v>238</v>
      </c>
      <c r="D559" s="399" t="s">
        <v>213</v>
      </c>
      <c r="E559" s="399" t="s">
        <v>128</v>
      </c>
      <c r="F559" s="2"/>
      <c r="G559" s="10">
        <f>G560</f>
        <v>4026.6</v>
      </c>
      <c r="H559" s="10">
        <f>H560</f>
        <v>4026.4110000000001</v>
      </c>
      <c r="I559" s="389">
        <f t="shared" si="90"/>
        <v>99.995306213679029</v>
      </c>
    </row>
    <row r="560" spans="1:9" s="191" customFormat="1" ht="20.25" customHeight="1" x14ac:dyDescent="0.25">
      <c r="A560" s="396" t="s">
        <v>208</v>
      </c>
      <c r="B560" s="392" t="s">
        <v>1202</v>
      </c>
      <c r="C560" s="399" t="s">
        <v>238</v>
      </c>
      <c r="D560" s="399" t="s">
        <v>213</v>
      </c>
      <c r="E560" s="399" t="s">
        <v>209</v>
      </c>
      <c r="F560" s="2"/>
      <c r="G560" s="10">
        <f>'Пр.4 ведом.21'!G534</f>
        <v>4026.6</v>
      </c>
      <c r="H560" s="10">
        <f>'Пр.4 ведом.21'!H534</f>
        <v>4026.4110000000001</v>
      </c>
      <c r="I560" s="389">
        <f t="shared" si="90"/>
        <v>99.995306213679029</v>
      </c>
    </row>
    <row r="561" spans="1:9" s="191" customFormat="1" ht="50.25" customHeight="1" x14ac:dyDescent="0.25">
      <c r="A561" s="45" t="s">
        <v>261</v>
      </c>
      <c r="B561" s="392" t="s">
        <v>1202</v>
      </c>
      <c r="C561" s="399" t="s">
        <v>238</v>
      </c>
      <c r="D561" s="399" t="s">
        <v>213</v>
      </c>
      <c r="E561" s="399" t="s">
        <v>209</v>
      </c>
      <c r="F561" s="2">
        <v>903</v>
      </c>
      <c r="G561" s="10">
        <f>G560</f>
        <v>4026.6</v>
      </c>
      <c r="H561" s="10">
        <f>H560</f>
        <v>4026.4110000000001</v>
      </c>
      <c r="I561" s="389">
        <f t="shared" si="90"/>
        <v>99.995306213679029</v>
      </c>
    </row>
    <row r="562" spans="1:9" s="191" customFormat="1" ht="42.75" customHeight="1" x14ac:dyDescent="0.25">
      <c r="A562" s="396" t="s">
        <v>131</v>
      </c>
      <c r="B562" s="392" t="s">
        <v>1202</v>
      </c>
      <c r="C562" s="399" t="s">
        <v>238</v>
      </c>
      <c r="D562" s="399" t="s">
        <v>213</v>
      </c>
      <c r="E562" s="399" t="s">
        <v>132</v>
      </c>
      <c r="F562" s="2"/>
      <c r="G562" s="10">
        <f>G563</f>
        <v>1132.5</v>
      </c>
      <c r="H562" s="10">
        <f>H563</f>
        <v>1123.93</v>
      </c>
      <c r="I562" s="389">
        <f t="shared" si="90"/>
        <v>99.243267108167771</v>
      </c>
    </row>
    <row r="563" spans="1:9" s="191" customFormat="1" ht="36" customHeight="1" x14ac:dyDescent="0.25">
      <c r="A563" s="396" t="s">
        <v>133</v>
      </c>
      <c r="B563" s="392" t="s">
        <v>1202</v>
      </c>
      <c r="C563" s="399" t="s">
        <v>238</v>
      </c>
      <c r="D563" s="399" t="s">
        <v>213</v>
      </c>
      <c r="E563" s="399" t="s">
        <v>134</v>
      </c>
      <c r="F563" s="2"/>
      <c r="G563" s="10">
        <f>'Пр.4 ведом.21'!G536</f>
        <v>1132.5</v>
      </c>
      <c r="H563" s="10">
        <f>'Пр.4 ведом.21'!H536</f>
        <v>1123.93</v>
      </c>
      <c r="I563" s="389">
        <f t="shared" si="90"/>
        <v>99.243267108167771</v>
      </c>
    </row>
    <row r="564" spans="1:9" s="191" customFormat="1" ht="50.25" customHeight="1" x14ac:dyDescent="0.25">
      <c r="A564" s="45" t="s">
        <v>261</v>
      </c>
      <c r="B564" s="392" t="s">
        <v>1202</v>
      </c>
      <c r="C564" s="399" t="s">
        <v>238</v>
      </c>
      <c r="D564" s="399" t="s">
        <v>213</v>
      </c>
      <c r="E564" s="399" t="s">
        <v>134</v>
      </c>
      <c r="F564" s="2">
        <v>903</v>
      </c>
      <c r="G564" s="10">
        <f>G563</f>
        <v>1132.5</v>
      </c>
      <c r="H564" s="10">
        <f>H563</f>
        <v>1123.93</v>
      </c>
      <c r="I564" s="389">
        <f t="shared" si="90"/>
        <v>99.243267108167771</v>
      </c>
    </row>
    <row r="565" spans="1:9" s="191" customFormat="1" ht="19.5" customHeight="1" x14ac:dyDescent="0.25">
      <c r="A565" s="396" t="s">
        <v>135</v>
      </c>
      <c r="B565" s="392" t="s">
        <v>1202</v>
      </c>
      <c r="C565" s="399" t="s">
        <v>238</v>
      </c>
      <c r="D565" s="399" t="s">
        <v>213</v>
      </c>
      <c r="E565" s="399" t="s">
        <v>145</v>
      </c>
      <c r="F565" s="2"/>
      <c r="G565" s="10">
        <f>G566</f>
        <v>17.700000000000003</v>
      </c>
      <c r="H565" s="10">
        <f>H566</f>
        <v>17.475999999999999</v>
      </c>
      <c r="I565" s="389">
        <f t="shared" si="90"/>
        <v>98.734463276836138</v>
      </c>
    </row>
    <row r="566" spans="1:9" s="191" customFormat="1" ht="23.25" customHeight="1" x14ac:dyDescent="0.25">
      <c r="A566" s="396" t="s">
        <v>137</v>
      </c>
      <c r="B566" s="392" t="s">
        <v>1202</v>
      </c>
      <c r="C566" s="399" t="s">
        <v>238</v>
      </c>
      <c r="D566" s="399" t="s">
        <v>213</v>
      </c>
      <c r="E566" s="399" t="s">
        <v>138</v>
      </c>
      <c r="F566" s="2"/>
      <c r="G566" s="10">
        <f>'Пр.4 ведом.21'!G538</f>
        <v>17.700000000000003</v>
      </c>
      <c r="H566" s="10">
        <f>'Пр.4 ведом.21'!H538</f>
        <v>17.475999999999999</v>
      </c>
      <c r="I566" s="389">
        <f t="shared" si="90"/>
        <v>98.734463276836138</v>
      </c>
    </row>
    <row r="567" spans="1:9" s="191" customFormat="1" ht="50.25" customHeight="1" x14ac:dyDescent="0.25">
      <c r="A567" s="45" t="s">
        <v>261</v>
      </c>
      <c r="B567" s="392" t="s">
        <v>1202</v>
      </c>
      <c r="C567" s="399" t="s">
        <v>238</v>
      </c>
      <c r="D567" s="399" t="s">
        <v>213</v>
      </c>
      <c r="E567" s="399" t="s">
        <v>138</v>
      </c>
      <c r="F567" s="2">
        <v>903</v>
      </c>
      <c r="G567" s="10">
        <f>G566</f>
        <v>17.700000000000003</v>
      </c>
      <c r="H567" s="10">
        <f>H566</f>
        <v>17.475999999999999</v>
      </c>
      <c r="I567" s="389">
        <f t="shared" si="90"/>
        <v>98.734463276836138</v>
      </c>
    </row>
    <row r="568" spans="1:9" s="387" customFormat="1" ht="47.25" x14ac:dyDescent="0.25">
      <c r="A568" s="396" t="s">
        <v>1660</v>
      </c>
      <c r="B568" s="392" t="s">
        <v>1661</v>
      </c>
      <c r="C568" s="399" t="s">
        <v>238</v>
      </c>
      <c r="D568" s="399" t="s">
        <v>213</v>
      </c>
      <c r="E568" s="399"/>
      <c r="F568" s="2"/>
      <c r="G568" s="10">
        <f>G569</f>
        <v>117.55</v>
      </c>
      <c r="H568" s="10">
        <f>H569</f>
        <v>117.55</v>
      </c>
      <c r="I568" s="389">
        <f t="shared" si="90"/>
        <v>100</v>
      </c>
    </row>
    <row r="569" spans="1:9" s="387" customFormat="1" ht="78.75" x14ac:dyDescent="0.25">
      <c r="A569" s="396" t="s">
        <v>127</v>
      </c>
      <c r="B569" s="392" t="s">
        <v>1661</v>
      </c>
      <c r="C569" s="399" t="s">
        <v>238</v>
      </c>
      <c r="D569" s="399" t="s">
        <v>213</v>
      </c>
      <c r="E569" s="399" t="s">
        <v>128</v>
      </c>
      <c r="F569" s="2"/>
      <c r="G569" s="10">
        <f>G570</f>
        <v>117.55</v>
      </c>
      <c r="H569" s="10">
        <f>H570</f>
        <v>117.55</v>
      </c>
      <c r="I569" s="389">
        <f t="shared" si="90"/>
        <v>100</v>
      </c>
    </row>
    <row r="570" spans="1:9" s="387" customFormat="1" ht="15.75" x14ac:dyDescent="0.25">
      <c r="A570" s="46" t="s">
        <v>342</v>
      </c>
      <c r="B570" s="392" t="s">
        <v>1661</v>
      </c>
      <c r="C570" s="399" t="s">
        <v>238</v>
      </c>
      <c r="D570" s="399" t="s">
        <v>213</v>
      </c>
      <c r="E570" s="399" t="s">
        <v>209</v>
      </c>
      <c r="F570" s="2"/>
      <c r="G570" s="10">
        <f>'Пр.4 ведом.21'!G541</f>
        <v>117.55</v>
      </c>
      <c r="H570" s="10">
        <f>'Пр.4 ведом.21'!H541</f>
        <v>117.55</v>
      </c>
      <c r="I570" s="389">
        <f t="shared" si="90"/>
        <v>100</v>
      </c>
    </row>
    <row r="571" spans="1:9" s="387" customFormat="1" ht="47.25" x14ac:dyDescent="0.25">
      <c r="A571" s="45" t="s">
        <v>261</v>
      </c>
      <c r="B571" s="392" t="s">
        <v>1661</v>
      </c>
      <c r="C571" s="399" t="s">
        <v>238</v>
      </c>
      <c r="D571" s="399" t="s">
        <v>213</v>
      </c>
      <c r="E571" s="399" t="s">
        <v>209</v>
      </c>
      <c r="F571" s="2">
        <v>903</v>
      </c>
      <c r="G571" s="10">
        <f>G570</f>
        <v>117.55</v>
      </c>
      <c r="H571" s="10">
        <f>H570</f>
        <v>117.55</v>
      </c>
      <c r="I571" s="389">
        <f t="shared" si="90"/>
        <v>100</v>
      </c>
    </row>
    <row r="572" spans="1:9" s="191" customFormat="1" ht="31.7" customHeight="1" x14ac:dyDescent="0.25">
      <c r="A572" s="201" t="s">
        <v>1299</v>
      </c>
      <c r="B572" s="395" t="s">
        <v>1203</v>
      </c>
      <c r="C572" s="7"/>
      <c r="D572" s="7"/>
      <c r="E572" s="7"/>
      <c r="F572" s="3"/>
      <c r="G572" s="59">
        <f>G573+G586</f>
        <v>1199.9000000000001</v>
      </c>
      <c r="H572" s="59">
        <f>H573+H586</f>
        <v>1199.73</v>
      </c>
      <c r="I572" s="492">
        <f t="shared" si="90"/>
        <v>99.985832152679393</v>
      </c>
    </row>
    <row r="573" spans="1:9" s="191" customFormat="1" ht="21.2" customHeight="1" x14ac:dyDescent="0.25">
      <c r="A573" s="396" t="s">
        <v>263</v>
      </c>
      <c r="B573" s="392" t="s">
        <v>1203</v>
      </c>
      <c r="C573" s="399" t="s">
        <v>264</v>
      </c>
      <c r="D573" s="399"/>
      <c r="E573" s="399"/>
      <c r="F573" s="2"/>
      <c r="G573" s="10">
        <f>G574</f>
        <v>335.5</v>
      </c>
      <c r="H573" s="10">
        <f>H574</f>
        <v>335.47399999999999</v>
      </c>
      <c r="I573" s="389">
        <f t="shared" si="90"/>
        <v>99.992250372578241</v>
      </c>
    </row>
    <row r="574" spans="1:9" s="191" customFormat="1" ht="20.25" customHeight="1" x14ac:dyDescent="0.25">
      <c r="A574" s="396" t="s">
        <v>265</v>
      </c>
      <c r="B574" s="392" t="s">
        <v>1203</v>
      </c>
      <c r="C574" s="399" t="s">
        <v>264</v>
      </c>
      <c r="D574" s="399" t="s">
        <v>215</v>
      </c>
      <c r="E574" s="399"/>
      <c r="F574" s="2"/>
      <c r="G574" s="10">
        <f>G575</f>
        <v>335.5</v>
      </c>
      <c r="H574" s="10">
        <f>H575</f>
        <v>335.47399999999999</v>
      </c>
      <c r="I574" s="389">
        <f t="shared" si="90"/>
        <v>99.992250372578241</v>
      </c>
    </row>
    <row r="575" spans="1:9" s="191" customFormat="1" ht="30.6" customHeight="1" x14ac:dyDescent="0.25">
      <c r="A575" s="188" t="s">
        <v>799</v>
      </c>
      <c r="B575" s="392" t="s">
        <v>1204</v>
      </c>
      <c r="C575" s="399" t="s">
        <v>264</v>
      </c>
      <c r="D575" s="399" t="s">
        <v>215</v>
      </c>
      <c r="E575" s="392"/>
      <c r="F575" s="2"/>
      <c r="G575" s="10">
        <f>G576+G579</f>
        <v>335.5</v>
      </c>
      <c r="H575" s="10">
        <f>H576+H579</f>
        <v>335.47399999999999</v>
      </c>
      <c r="I575" s="389">
        <f t="shared" si="90"/>
        <v>99.992250372578241</v>
      </c>
    </row>
    <row r="576" spans="1:9" s="191" customFormat="1" ht="21.2" customHeight="1" x14ac:dyDescent="0.25">
      <c r="A576" s="396" t="s">
        <v>248</v>
      </c>
      <c r="B576" s="392" t="s">
        <v>1204</v>
      </c>
      <c r="C576" s="399" t="s">
        <v>264</v>
      </c>
      <c r="D576" s="399" t="s">
        <v>215</v>
      </c>
      <c r="E576" s="392" t="s">
        <v>249</v>
      </c>
      <c r="F576" s="2"/>
      <c r="G576" s="10">
        <f>G577</f>
        <v>45</v>
      </c>
      <c r="H576" s="10">
        <f>H577</f>
        <v>45</v>
      </c>
      <c r="I576" s="389">
        <f t="shared" si="90"/>
        <v>100</v>
      </c>
    </row>
    <row r="577" spans="1:9" s="191" customFormat="1" ht="19.5" customHeight="1" x14ac:dyDescent="0.25">
      <c r="A577" s="396" t="s">
        <v>819</v>
      </c>
      <c r="B577" s="392" t="s">
        <v>1204</v>
      </c>
      <c r="C577" s="399" t="s">
        <v>264</v>
      </c>
      <c r="D577" s="399" t="s">
        <v>215</v>
      </c>
      <c r="E577" s="392" t="s">
        <v>818</v>
      </c>
      <c r="F577" s="2"/>
      <c r="G577" s="10">
        <f>'Пр.4 ведом.21'!G338</f>
        <v>45</v>
      </c>
      <c r="H577" s="10">
        <f>'Пр.4 ведом.21'!H338</f>
        <v>45</v>
      </c>
      <c r="I577" s="389">
        <f t="shared" si="90"/>
        <v>100</v>
      </c>
    </row>
    <row r="578" spans="1:9" s="191" customFormat="1" ht="54" customHeight="1" x14ac:dyDescent="0.25">
      <c r="A578" s="45" t="s">
        <v>261</v>
      </c>
      <c r="B578" s="392" t="s">
        <v>1204</v>
      </c>
      <c r="C578" s="399" t="s">
        <v>264</v>
      </c>
      <c r="D578" s="399" t="s">
        <v>215</v>
      </c>
      <c r="E578" s="392" t="s">
        <v>818</v>
      </c>
      <c r="F578" s="2">
        <v>903</v>
      </c>
      <c r="G578" s="10">
        <f>G577</f>
        <v>45</v>
      </c>
      <c r="H578" s="10">
        <f>H577</f>
        <v>45</v>
      </c>
      <c r="I578" s="389">
        <f t="shared" si="90"/>
        <v>100</v>
      </c>
    </row>
    <row r="579" spans="1:9" s="191" customFormat="1" ht="31.7" customHeight="1" x14ac:dyDescent="0.25">
      <c r="A579" s="31" t="s">
        <v>815</v>
      </c>
      <c r="B579" s="392" t="s">
        <v>1205</v>
      </c>
      <c r="C579" s="399" t="s">
        <v>264</v>
      </c>
      <c r="D579" s="399" t="s">
        <v>215</v>
      </c>
      <c r="E579" s="392"/>
      <c r="F579" s="2"/>
      <c r="G579" s="10">
        <f>G580+G583</f>
        <v>290.5</v>
      </c>
      <c r="H579" s="10">
        <f>H580+H583</f>
        <v>290.47399999999999</v>
      </c>
      <c r="I579" s="389">
        <f t="shared" si="90"/>
        <v>99.991049913941481</v>
      </c>
    </row>
    <row r="580" spans="1:9" s="191" customFormat="1" ht="31.7" customHeight="1" x14ac:dyDescent="0.25">
      <c r="A580" s="396" t="s">
        <v>127</v>
      </c>
      <c r="B580" s="392" t="s">
        <v>1205</v>
      </c>
      <c r="C580" s="399" t="s">
        <v>264</v>
      </c>
      <c r="D580" s="399" t="s">
        <v>215</v>
      </c>
      <c r="E580" s="392" t="s">
        <v>128</v>
      </c>
      <c r="F580" s="2"/>
      <c r="G580" s="10">
        <f>G581</f>
        <v>290.5</v>
      </c>
      <c r="H580" s="10">
        <f>H581</f>
        <v>290.47399999999999</v>
      </c>
      <c r="I580" s="389">
        <f t="shared" si="90"/>
        <v>99.991049913941481</v>
      </c>
    </row>
    <row r="581" spans="1:9" s="191" customFormat="1" ht="21.2" customHeight="1" x14ac:dyDescent="0.25">
      <c r="A581" s="46" t="s">
        <v>342</v>
      </c>
      <c r="B581" s="392" t="s">
        <v>1205</v>
      </c>
      <c r="C581" s="399" t="s">
        <v>264</v>
      </c>
      <c r="D581" s="399" t="s">
        <v>215</v>
      </c>
      <c r="E581" s="392" t="s">
        <v>209</v>
      </c>
      <c r="F581" s="2"/>
      <c r="G581" s="10">
        <f>'Пр.4 ведом.21'!G341</f>
        <v>290.5</v>
      </c>
      <c r="H581" s="10">
        <f>'Пр.4 ведом.21'!H341</f>
        <v>290.47399999999999</v>
      </c>
      <c r="I581" s="389">
        <f t="shared" si="90"/>
        <v>99.991049913941481</v>
      </c>
    </row>
    <row r="582" spans="1:9" s="191" customFormat="1" ht="52.5" customHeight="1" x14ac:dyDescent="0.25">
      <c r="A582" s="45" t="s">
        <v>261</v>
      </c>
      <c r="B582" s="392" t="s">
        <v>1205</v>
      </c>
      <c r="C582" s="399" t="s">
        <v>264</v>
      </c>
      <c r="D582" s="399" t="s">
        <v>215</v>
      </c>
      <c r="E582" s="392" t="s">
        <v>209</v>
      </c>
      <c r="F582" s="2">
        <v>903</v>
      </c>
      <c r="G582" s="10">
        <f>G581</f>
        <v>290.5</v>
      </c>
      <c r="H582" s="10">
        <f>H581</f>
        <v>290.47399999999999</v>
      </c>
      <c r="I582" s="389">
        <f t="shared" si="90"/>
        <v>99.991049913941481</v>
      </c>
    </row>
    <row r="583" spans="1:9" s="191" customFormat="1" ht="31.7" hidden="1" customHeight="1" x14ac:dyDescent="0.25">
      <c r="A583" s="396" t="s">
        <v>131</v>
      </c>
      <c r="B583" s="392" t="s">
        <v>1205</v>
      </c>
      <c r="C583" s="399" t="s">
        <v>264</v>
      </c>
      <c r="D583" s="399" t="s">
        <v>215</v>
      </c>
      <c r="E583" s="392" t="s">
        <v>132</v>
      </c>
      <c r="F583" s="2"/>
      <c r="G583" s="10">
        <f>G584</f>
        <v>0</v>
      </c>
      <c r="H583" s="10">
        <f>H584</f>
        <v>0</v>
      </c>
      <c r="I583" s="389" t="e">
        <f t="shared" si="90"/>
        <v>#DIV/0!</v>
      </c>
    </row>
    <row r="584" spans="1:9" s="191" customFormat="1" ht="31.7" hidden="1" customHeight="1" x14ac:dyDescent="0.25">
      <c r="A584" s="396" t="s">
        <v>133</v>
      </c>
      <c r="B584" s="392" t="s">
        <v>1205</v>
      </c>
      <c r="C584" s="399" t="s">
        <v>264</v>
      </c>
      <c r="D584" s="399" t="s">
        <v>215</v>
      </c>
      <c r="E584" s="392" t="s">
        <v>134</v>
      </c>
      <c r="F584" s="2"/>
      <c r="G584" s="10">
        <f>'Пр.4 ведом.21'!G343</f>
        <v>0</v>
      </c>
      <c r="H584" s="10">
        <f>'Пр.4 ведом.21'!H343</f>
        <v>0</v>
      </c>
      <c r="I584" s="389" t="e">
        <f t="shared" si="90"/>
        <v>#DIV/0!</v>
      </c>
    </row>
    <row r="585" spans="1:9" s="191" customFormat="1" ht="55.5" hidden="1" customHeight="1" x14ac:dyDescent="0.25">
      <c r="A585" s="45" t="s">
        <v>261</v>
      </c>
      <c r="B585" s="392" t="s">
        <v>1205</v>
      </c>
      <c r="C585" s="399" t="s">
        <v>264</v>
      </c>
      <c r="D585" s="399" t="s">
        <v>215</v>
      </c>
      <c r="E585" s="392" t="s">
        <v>134</v>
      </c>
      <c r="F585" s="2">
        <v>903</v>
      </c>
      <c r="G585" s="10">
        <f>G584</f>
        <v>0</v>
      </c>
      <c r="H585" s="10">
        <f>H584</f>
        <v>0</v>
      </c>
      <c r="I585" s="389" t="e">
        <f t="shared" si="90"/>
        <v>#DIV/0!</v>
      </c>
    </row>
    <row r="586" spans="1:9" s="191" customFormat="1" ht="16.5" customHeight="1" x14ac:dyDescent="0.25">
      <c r="A586" s="73" t="s">
        <v>298</v>
      </c>
      <c r="B586" s="392" t="s">
        <v>1203</v>
      </c>
      <c r="C586" s="399" t="s">
        <v>299</v>
      </c>
      <c r="D586" s="73"/>
      <c r="E586" s="73"/>
      <c r="F586" s="2"/>
      <c r="G586" s="10">
        <f>G587</f>
        <v>864.40000000000009</v>
      </c>
      <c r="H586" s="10">
        <f>H587</f>
        <v>864.25600000000009</v>
      </c>
      <c r="I586" s="389">
        <f t="shared" si="90"/>
        <v>99.983341045812125</v>
      </c>
    </row>
    <row r="587" spans="1:9" s="191" customFormat="1" ht="16.5" customHeight="1" x14ac:dyDescent="0.25">
      <c r="A587" s="73" t="s">
        <v>300</v>
      </c>
      <c r="B587" s="392" t="s">
        <v>1203</v>
      </c>
      <c r="C587" s="399" t="s">
        <v>299</v>
      </c>
      <c r="D587" s="399" t="s">
        <v>118</v>
      </c>
      <c r="E587" s="73"/>
      <c r="F587" s="2"/>
      <c r="G587" s="10">
        <f>G588+G592</f>
        <v>864.40000000000009</v>
      </c>
      <c r="H587" s="10">
        <f>H588+H592</f>
        <v>864.25600000000009</v>
      </c>
      <c r="I587" s="389">
        <f t="shared" si="90"/>
        <v>99.983341045812125</v>
      </c>
    </row>
    <row r="588" spans="1:9" s="191" customFormat="1" ht="41.25" customHeight="1" x14ac:dyDescent="0.25">
      <c r="A588" s="31" t="s">
        <v>815</v>
      </c>
      <c r="B588" s="392" t="s">
        <v>1205</v>
      </c>
      <c r="C588" s="399" t="s">
        <v>299</v>
      </c>
      <c r="D588" s="399" t="s">
        <v>118</v>
      </c>
      <c r="E588" s="399"/>
      <c r="F588" s="2"/>
      <c r="G588" s="10">
        <f>G589</f>
        <v>487.40000000000009</v>
      </c>
      <c r="H588" s="10">
        <f>H589</f>
        <v>487.32100000000003</v>
      </c>
      <c r="I588" s="389">
        <f t="shared" si="90"/>
        <v>99.98379154698398</v>
      </c>
    </row>
    <row r="589" spans="1:9" s="191" customFormat="1" ht="83.25" customHeight="1" x14ac:dyDescent="0.25">
      <c r="A589" s="396" t="s">
        <v>127</v>
      </c>
      <c r="B589" s="392" t="s">
        <v>1205</v>
      </c>
      <c r="C589" s="399" t="s">
        <v>299</v>
      </c>
      <c r="D589" s="399" t="s">
        <v>118</v>
      </c>
      <c r="E589" s="399" t="s">
        <v>128</v>
      </c>
      <c r="F589" s="2"/>
      <c r="G589" s="10">
        <f>G590</f>
        <v>487.40000000000009</v>
      </c>
      <c r="H589" s="10">
        <f>H590</f>
        <v>487.32100000000003</v>
      </c>
      <c r="I589" s="389">
        <f t="shared" si="90"/>
        <v>99.98379154698398</v>
      </c>
    </row>
    <row r="590" spans="1:9" s="191" customFormat="1" ht="15.75" customHeight="1" x14ac:dyDescent="0.25">
      <c r="A590" s="396" t="s">
        <v>208</v>
      </c>
      <c r="B590" s="392" t="s">
        <v>1205</v>
      </c>
      <c r="C590" s="399" t="s">
        <v>299</v>
      </c>
      <c r="D590" s="399" t="s">
        <v>118</v>
      </c>
      <c r="E590" s="399" t="s">
        <v>209</v>
      </c>
      <c r="F590" s="2"/>
      <c r="G590" s="10">
        <f>'Пр.3 Рд,пр, ЦС,ВР 21'!F872</f>
        <v>487.40000000000009</v>
      </c>
      <c r="H590" s="10">
        <f>'Пр.3 Рд,пр, ЦС,ВР 21'!G872</f>
        <v>487.32100000000003</v>
      </c>
      <c r="I590" s="389">
        <f t="shared" si="90"/>
        <v>99.98379154698398</v>
      </c>
    </row>
    <row r="591" spans="1:9" s="191" customFormat="1" ht="40.15" customHeight="1" x14ac:dyDescent="0.25">
      <c r="A591" s="45" t="s">
        <v>261</v>
      </c>
      <c r="B591" s="392" t="s">
        <v>1205</v>
      </c>
      <c r="C591" s="399" t="s">
        <v>299</v>
      </c>
      <c r="D591" s="399" t="s">
        <v>118</v>
      </c>
      <c r="E591" s="399" t="s">
        <v>209</v>
      </c>
      <c r="F591" s="2">
        <v>903</v>
      </c>
      <c r="G591" s="10">
        <f>G590</f>
        <v>487.40000000000009</v>
      </c>
      <c r="H591" s="10">
        <f>H590</f>
        <v>487.32100000000003</v>
      </c>
      <c r="I591" s="389">
        <f t="shared" si="90"/>
        <v>99.98379154698398</v>
      </c>
    </row>
    <row r="592" spans="1:9" s="191" customFormat="1" ht="40.700000000000003" customHeight="1" x14ac:dyDescent="0.25">
      <c r="A592" s="396" t="s">
        <v>131</v>
      </c>
      <c r="B592" s="392" t="s">
        <v>1205</v>
      </c>
      <c r="C592" s="399" t="s">
        <v>299</v>
      </c>
      <c r="D592" s="399" t="s">
        <v>118</v>
      </c>
      <c r="E592" s="399" t="s">
        <v>132</v>
      </c>
      <c r="F592" s="2"/>
      <c r="G592" s="10">
        <f>G593</f>
        <v>377</v>
      </c>
      <c r="H592" s="10">
        <f>H593</f>
        <v>376.935</v>
      </c>
      <c r="I592" s="389">
        <f t="shared" si="90"/>
        <v>99.982758620689665</v>
      </c>
    </row>
    <row r="593" spans="1:9" s="191" customFormat="1" ht="40.700000000000003" customHeight="1" x14ac:dyDescent="0.25">
      <c r="A593" s="396" t="s">
        <v>133</v>
      </c>
      <c r="B593" s="392" t="s">
        <v>1205</v>
      </c>
      <c r="C593" s="399" t="s">
        <v>299</v>
      </c>
      <c r="D593" s="399" t="s">
        <v>118</v>
      </c>
      <c r="E593" s="399" t="s">
        <v>134</v>
      </c>
      <c r="F593" s="2"/>
      <c r="G593" s="10">
        <f>'Пр.3 Рд,пр, ЦС,ВР 21'!F874</f>
        <v>377</v>
      </c>
      <c r="H593" s="10">
        <f>'Пр.3 Рд,пр, ЦС,ВР 21'!G874</f>
        <v>376.935</v>
      </c>
      <c r="I593" s="389">
        <f t="shared" ref="I593:I656" si="91">H593/G593*100</f>
        <v>99.982758620689665</v>
      </c>
    </row>
    <row r="594" spans="1:9" s="191" customFormat="1" ht="46.5" customHeight="1" x14ac:dyDescent="0.25">
      <c r="A594" s="45" t="s">
        <v>261</v>
      </c>
      <c r="B594" s="392" t="s">
        <v>1205</v>
      </c>
      <c r="C594" s="399" t="s">
        <v>299</v>
      </c>
      <c r="D594" s="399" t="s">
        <v>118</v>
      </c>
      <c r="E594" s="399" t="s">
        <v>134</v>
      </c>
      <c r="F594" s="2">
        <v>903</v>
      </c>
      <c r="G594" s="10">
        <f>G593</f>
        <v>377</v>
      </c>
      <c r="H594" s="10">
        <f>H593</f>
        <v>376.935</v>
      </c>
      <c r="I594" s="389">
        <f t="shared" si="91"/>
        <v>99.982758620689665</v>
      </c>
    </row>
    <row r="595" spans="1:9" s="191" customFormat="1" ht="35.450000000000003" customHeight="1" x14ac:dyDescent="0.25">
      <c r="A595" s="394" t="s">
        <v>946</v>
      </c>
      <c r="B595" s="395" t="s">
        <v>1206</v>
      </c>
      <c r="C595" s="7"/>
      <c r="D595" s="7"/>
      <c r="E595" s="7"/>
      <c r="F595" s="3"/>
      <c r="G595" s="59">
        <f>G604+G597+G608</f>
        <v>1449.8000000000002</v>
      </c>
      <c r="H595" s="59">
        <f>H604+H597+H608</f>
        <v>1449.5029999999999</v>
      </c>
      <c r="I595" s="492">
        <f t="shared" si="91"/>
        <v>99.979514415781466</v>
      </c>
    </row>
    <row r="596" spans="1:9" s="191" customFormat="1" ht="18" customHeight="1" x14ac:dyDescent="0.25">
      <c r="A596" s="396" t="s">
        <v>263</v>
      </c>
      <c r="B596" s="392" t="s">
        <v>1206</v>
      </c>
      <c r="C596" s="399" t="s">
        <v>264</v>
      </c>
      <c r="D596" s="399"/>
      <c r="E596" s="399"/>
      <c r="F596" s="2"/>
      <c r="G596" s="10">
        <f t="shared" ref="G596:H599" si="92">G597</f>
        <v>233.20000000000002</v>
      </c>
      <c r="H596" s="10">
        <f t="shared" si="92"/>
        <v>233.185</v>
      </c>
      <c r="I596" s="389">
        <f t="shared" si="91"/>
        <v>99.993567753001713</v>
      </c>
    </row>
    <row r="597" spans="1:9" s="191" customFormat="1" ht="22.7" customHeight="1" x14ac:dyDescent="0.25">
      <c r="A597" s="396" t="s">
        <v>265</v>
      </c>
      <c r="B597" s="392" t="s">
        <v>1206</v>
      </c>
      <c r="C597" s="399" t="s">
        <v>264</v>
      </c>
      <c r="D597" s="399" t="s">
        <v>215</v>
      </c>
      <c r="E597" s="399"/>
      <c r="F597" s="2"/>
      <c r="G597" s="10">
        <f t="shared" si="92"/>
        <v>233.20000000000002</v>
      </c>
      <c r="H597" s="10">
        <f t="shared" si="92"/>
        <v>233.185</v>
      </c>
      <c r="I597" s="389">
        <f t="shared" si="91"/>
        <v>99.993567753001713</v>
      </c>
    </row>
    <row r="598" spans="1:9" s="191" customFormat="1" ht="49.7" customHeight="1" x14ac:dyDescent="0.25">
      <c r="A598" s="396" t="s">
        <v>838</v>
      </c>
      <c r="B598" s="392" t="s">
        <v>1207</v>
      </c>
      <c r="C598" s="399" t="s">
        <v>264</v>
      </c>
      <c r="D598" s="399" t="s">
        <v>215</v>
      </c>
      <c r="E598" s="392"/>
      <c r="F598" s="2"/>
      <c r="G598" s="10">
        <f t="shared" si="92"/>
        <v>233.20000000000002</v>
      </c>
      <c r="H598" s="10">
        <f t="shared" si="92"/>
        <v>233.185</v>
      </c>
      <c r="I598" s="389">
        <f t="shared" si="91"/>
        <v>99.993567753001713</v>
      </c>
    </row>
    <row r="599" spans="1:9" s="191" customFormat="1" ht="88.5" customHeight="1" x14ac:dyDescent="0.25">
      <c r="A599" s="396" t="s">
        <v>127</v>
      </c>
      <c r="B599" s="392" t="s">
        <v>1207</v>
      </c>
      <c r="C599" s="399" t="s">
        <v>264</v>
      </c>
      <c r="D599" s="399" t="s">
        <v>215</v>
      </c>
      <c r="E599" s="392" t="s">
        <v>128</v>
      </c>
      <c r="F599" s="2"/>
      <c r="G599" s="10">
        <f t="shared" si="92"/>
        <v>233.20000000000002</v>
      </c>
      <c r="H599" s="10">
        <f t="shared" si="92"/>
        <v>233.185</v>
      </c>
      <c r="I599" s="389">
        <f t="shared" si="91"/>
        <v>99.993567753001713</v>
      </c>
    </row>
    <row r="600" spans="1:9" s="191" customFormat="1" ht="36.75" customHeight="1" x14ac:dyDescent="0.25">
      <c r="A600" s="396" t="s">
        <v>129</v>
      </c>
      <c r="B600" s="392" t="s">
        <v>1207</v>
      </c>
      <c r="C600" s="399" t="s">
        <v>264</v>
      </c>
      <c r="D600" s="399" t="s">
        <v>215</v>
      </c>
      <c r="E600" s="392" t="s">
        <v>209</v>
      </c>
      <c r="F600" s="2"/>
      <c r="G600" s="10">
        <f>'Пр.4 ведом.21'!G347</f>
        <v>233.20000000000002</v>
      </c>
      <c r="H600" s="10">
        <f>'Пр.4 ведом.21'!H347</f>
        <v>233.185</v>
      </c>
      <c r="I600" s="389">
        <f t="shared" si="91"/>
        <v>99.993567753001713</v>
      </c>
    </row>
    <row r="601" spans="1:9" s="191" customFormat="1" ht="58.7" customHeight="1" x14ac:dyDescent="0.25">
      <c r="A601" s="45" t="s">
        <v>261</v>
      </c>
      <c r="B601" s="392" t="s">
        <v>1207</v>
      </c>
      <c r="C601" s="399" t="s">
        <v>264</v>
      </c>
      <c r="D601" s="399" t="s">
        <v>215</v>
      </c>
      <c r="E601" s="392" t="s">
        <v>209</v>
      </c>
      <c r="F601" s="2">
        <v>903</v>
      </c>
      <c r="G601" s="10">
        <f>G600</f>
        <v>233.20000000000002</v>
      </c>
      <c r="H601" s="10">
        <f>H600</f>
        <v>233.185</v>
      </c>
      <c r="I601" s="389">
        <f t="shared" si="91"/>
        <v>99.993567753001713</v>
      </c>
    </row>
    <row r="602" spans="1:9" s="191" customFormat="1" ht="16.5" customHeight="1" x14ac:dyDescent="0.25">
      <c r="A602" s="73" t="s">
        <v>298</v>
      </c>
      <c r="B602" s="392" t="s">
        <v>1206</v>
      </c>
      <c r="C602" s="399" t="s">
        <v>299</v>
      </c>
      <c r="D602" s="73"/>
      <c r="E602" s="73"/>
      <c r="F602" s="2"/>
      <c r="G602" s="10">
        <f t="shared" ref="G602:H605" si="93">G603</f>
        <v>955.00000000000011</v>
      </c>
      <c r="H602" s="10">
        <f t="shared" si="93"/>
        <v>954.75</v>
      </c>
      <c r="I602" s="389">
        <f t="shared" si="91"/>
        <v>99.973821989528787</v>
      </c>
    </row>
    <row r="603" spans="1:9" s="191" customFormat="1" ht="18.75" customHeight="1" x14ac:dyDescent="0.25">
      <c r="A603" s="73" t="s">
        <v>300</v>
      </c>
      <c r="B603" s="392" t="s">
        <v>1206</v>
      </c>
      <c r="C603" s="399" t="s">
        <v>299</v>
      </c>
      <c r="D603" s="399" t="s">
        <v>118</v>
      </c>
      <c r="E603" s="73"/>
      <c r="F603" s="2"/>
      <c r="G603" s="10">
        <f t="shared" si="93"/>
        <v>955.00000000000011</v>
      </c>
      <c r="H603" s="10">
        <f t="shared" si="93"/>
        <v>954.75</v>
      </c>
      <c r="I603" s="389">
        <f t="shared" si="91"/>
        <v>99.973821989528787</v>
      </c>
    </row>
    <row r="604" spans="1:9" s="191" customFormat="1" ht="43.5" customHeight="1" x14ac:dyDescent="0.25">
      <c r="A604" s="396" t="s">
        <v>838</v>
      </c>
      <c r="B604" s="392" t="s">
        <v>1207</v>
      </c>
      <c r="C604" s="399" t="s">
        <v>299</v>
      </c>
      <c r="D604" s="399" t="s">
        <v>118</v>
      </c>
      <c r="E604" s="399"/>
      <c r="F604" s="2"/>
      <c r="G604" s="10">
        <f t="shared" si="93"/>
        <v>955.00000000000011</v>
      </c>
      <c r="H604" s="10">
        <f t="shared" si="93"/>
        <v>954.75</v>
      </c>
      <c r="I604" s="389">
        <f t="shared" si="91"/>
        <v>99.973821989528787</v>
      </c>
    </row>
    <row r="605" spans="1:9" s="191" customFormat="1" ht="81" customHeight="1" x14ac:dyDescent="0.25">
      <c r="A605" s="396" t="s">
        <v>127</v>
      </c>
      <c r="B605" s="392" t="s">
        <v>1207</v>
      </c>
      <c r="C605" s="399" t="s">
        <v>299</v>
      </c>
      <c r="D605" s="399" t="s">
        <v>118</v>
      </c>
      <c r="E605" s="399" t="s">
        <v>128</v>
      </c>
      <c r="F605" s="2"/>
      <c r="G605" s="10">
        <f t="shared" si="93"/>
        <v>955.00000000000011</v>
      </c>
      <c r="H605" s="10">
        <f t="shared" si="93"/>
        <v>954.75</v>
      </c>
      <c r="I605" s="389">
        <f t="shared" si="91"/>
        <v>99.973821989528787</v>
      </c>
    </row>
    <row r="606" spans="1:9" s="191" customFormat="1" ht="38.25" customHeight="1" x14ac:dyDescent="0.25">
      <c r="A606" s="396" t="s">
        <v>129</v>
      </c>
      <c r="B606" s="392" t="s">
        <v>1207</v>
      </c>
      <c r="C606" s="399" t="s">
        <v>299</v>
      </c>
      <c r="D606" s="399" t="s">
        <v>118</v>
      </c>
      <c r="E606" s="399" t="s">
        <v>209</v>
      </c>
      <c r="F606" s="2"/>
      <c r="G606" s="10">
        <f>'Пр.3 Рд,пр, ЦС,ВР 21'!F878</f>
        <v>955.00000000000011</v>
      </c>
      <c r="H606" s="10">
        <f>'Пр.3 Рд,пр, ЦС,ВР 21'!G878</f>
        <v>954.75</v>
      </c>
      <c r="I606" s="389">
        <f t="shared" si="91"/>
        <v>99.973821989528787</v>
      </c>
    </row>
    <row r="607" spans="1:9" s="191" customFormat="1" ht="47.25" customHeight="1" x14ac:dyDescent="0.25">
      <c r="A607" s="45" t="s">
        <v>261</v>
      </c>
      <c r="B607" s="392" t="s">
        <v>1207</v>
      </c>
      <c r="C607" s="399" t="s">
        <v>299</v>
      </c>
      <c r="D607" s="399" t="s">
        <v>118</v>
      </c>
      <c r="E607" s="399" t="s">
        <v>209</v>
      </c>
      <c r="F607" s="2">
        <v>903</v>
      </c>
      <c r="G607" s="10">
        <f>G606</f>
        <v>955.00000000000011</v>
      </c>
      <c r="H607" s="10">
        <f>H606</f>
        <v>954.75</v>
      </c>
      <c r="I607" s="389">
        <f t="shared" si="91"/>
        <v>99.973821989528787</v>
      </c>
    </row>
    <row r="608" spans="1:9" s="191" customFormat="1" ht="16.5" customHeight="1" x14ac:dyDescent="0.25">
      <c r="A608" s="68" t="s">
        <v>582</v>
      </c>
      <c r="B608" s="392" t="s">
        <v>1206</v>
      </c>
      <c r="C608" s="399" t="s">
        <v>238</v>
      </c>
      <c r="D608" s="73"/>
      <c r="E608" s="73"/>
      <c r="F608" s="2"/>
      <c r="G608" s="10">
        <f t="shared" ref="G608:H611" si="94">G609</f>
        <v>261.60000000000002</v>
      </c>
      <c r="H608" s="10">
        <f t="shared" si="94"/>
        <v>261.56799999999998</v>
      </c>
      <c r="I608" s="389">
        <f t="shared" si="91"/>
        <v>99.987767584097838</v>
      </c>
    </row>
    <row r="609" spans="1:9" s="191" customFormat="1" ht="18" customHeight="1" x14ac:dyDescent="0.25">
      <c r="A609" s="396" t="s">
        <v>583</v>
      </c>
      <c r="B609" s="392" t="s">
        <v>1206</v>
      </c>
      <c r="C609" s="399" t="s">
        <v>238</v>
      </c>
      <c r="D609" s="399" t="s">
        <v>213</v>
      </c>
      <c r="E609" s="73"/>
      <c r="F609" s="2"/>
      <c r="G609" s="10">
        <f t="shared" si="94"/>
        <v>261.60000000000002</v>
      </c>
      <c r="H609" s="10">
        <f t="shared" si="94"/>
        <v>261.56799999999998</v>
      </c>
      <c r="I609" s="389">
        <f t="shared" si="91"/>
        <v>99.987767584097838</v>
      </c>
    </row>
    <row r="610" spans="1:9" s="191" customFormat="1" ht="47.25" customHeight="1" x14ac:dyDescent="0.25">
      <c r="A610" s="396" t="s">
        <v>838</v>
      </c>
      <c r="B610" s="392" t="s">
        <v>1207</v>
      </c>
      <c r="C610" s="399" t="s">
        <v>238</v>
      </c>
      <c r="D610" s="399" t="s">
        <v>213</v>
      </c>
      <c r="E610" s="399"/>
      <c r="F610" s="2"/>
      <c r="G610" s="10">
        <f t="shared" si="94"/>
        <v>261.60000000000002</v>
      </c>
      <c r="H610" s="10">
        <f t="shared" si="94"/>
        <v>261.56799999999998</v>
      </c>
      <c r="I610" s="389">
        <f t="shared" si="91"/>
        <v>99.987767584097838</v>
      </c>
    </row>
    <row r="611" spans="1:9" s="191" customFormat="1" ht="47.25" customHeight="1" x14ac:dyDescent="0.25">
      <c r="A611" s="396" t="s">
        <v>127</v>
      </c>
      <c r="B611" s="392" t="s">
        <v>1207</v>
      </c>
      <c r="C611" s="399" t="s">
        <v>238</v>
      </c>
      <c r="D611" s="399" t="s">
        <v>213</v>
      </c>
      <c r="E611" s="399" t="s">
        <v>128</v>
      </c>
      <c r="F611" s="2"/>
      <c r="G611" s="10">
        <f t="shared" si="94"/>
        <v>261.60000000000002</v>
      </c>
      <c r="H611" s="10">
        <f t="shared" si="94"/>
        <v>261.56799999999998</v>
      </c>
      <c r="I611" s="389">
        <f t="shared" si="91"/>
        <v>99.987767584097838</v>
      </c>
    </row>
    <row r="612" spans="1:9" s="191" customFormat="1" ht="47.25" customHeight="1" x14ac:dyDescent="0.25">
      <c r="A612" s="396" t="s">
        <v>129</v>
      </c>
      <c r="B612" s="392" t="s">
        <v>1207</v>
      </c>
      <c r="C612" s="399" t="s">
        <v>238</v>
      </c>
      <c r="D612" s="399" t="s">
        <v>213</v>
      </c>
      <c r="E612" s="399" t="s">
        <v>209</v>
      </c>
      <c r="F612" s="2"/>
      <c r="G612" s="10">
        <f>'Пр.4 ведом.21'!G545</f>
        <v>261.60000000000002</v>
      </c>
      <c r="H612" s="10">
        <f>'Пр.4 ведом.21'!H545</f>
        <v>261.56799999999998</v>
      </c>
      <c r="I612" s="389">
        <f t="shared" si="91"/>
        <v>99.987767584097838</v>
      </c>
    </row>
    <row r="613" spans="1:9" s="191" customFormat="1" ht="47.25" customHeight="1" x14ac:dyDescent="0.25">
      <c r="A613" s="45" t="s">
        <v>261</v>
      </c>
      <c r="B613" s="392" t="s">
        <v>1207</v>
      </c>
      <c r="C613" s="399" t="s">
        <v>238</v>
      </c>
      <c r="D613" s="399" t="s">
        <v>213</v>
      </c>
      <c r="E613" s="399" t="s">
        <v>209</v>
      </c>
      <c r="F613" s="2">
        <v>903</v>
      </c>
      <c r="G613" s="10">
        <f>G612</f>
        <v>261.60000000000002</v>
      </c>
      <c r="H613" s="10">
        <f>H612</f>
        <v>261.56799999999998</v>
      </c>
      <c r="I613" s="389">
        <f t="shared" si="91"/>
        <v>99.987767584097838</v>
      </c>
    </row>
    <row r="614" spans="1:9" s="191" customFormat="1" ht="48.2" customHeight="1" x14ac:dyDescent="0.25">
      <c r="A614" s="202" t="s">
        <v>899</v>
      </c>
      <c r="B614" s="395" t="s">
        <v>1208</v>
      </c>
      <c r="C614" s="7"/>
      <c r="D614" s="7"/>
      <c r="E614" s="7"/>
      <c r="F614" s="3"/>
      <c r="G614" s="59">
        <f>G615+G630</f>
        <v>3517.4</v>
      </c>
      <c r="H614" s="59">
        <f>H615+H630</f>
        <v>2750.348</v>
      </c>
      <c r="I614" s="492">
        <f t="shared" si="91"/>
        <v>78.192642292602486</v>
      </c>
    </row>
    <row r="615" spans="1:9" s="191" customFormat="1" ht="21.75" customHeight="1" x14ac:dyDescent="0.25">
      <c r="A615" s="396" t="s">
        <v>263</v>
      </c>
      <c r="B615" s="392" t="s">
        <v>1208</v>
      </c>
      <c r="C615" s="399" t="s">
        <v>264</v>
      </c>
      <c r="D615" s="399"/>
      <c r="E615" s="399"/>
      <c r="F615" s="2"/>
      <c r="G615" s="10">
        <f>G616</f>
        <v>1075.4000000000001</v>
      </c>
      <c r="H615" s="10">
        <f>H616</f>
        <v>669.053</v>
      </c>
      <c r="I615" s="389">
        <f t="shared" si="91"/>
        <v>62.214338850660212</v>
      </c>
    </row>
    <row r="616" spans="1:9" s="191" customFormat="1" ht="18" customHeight="1" x14ac:dyDescent="0.25">
      <c r="A616" s="396" t="s">
        <v>265</v>
      </c>
      <c r="B616" s="392" t="s">
        <v>1208</v>
      </c>
      <c r="C616" s="399" t="s">
        <v>264</v>
      </c>
      <c r="D616" s="399" t="s">
        <v>215</v>
      </c>
      <c r="E616" s="399"/>
      <c r="F616" s="2"/>
      <c r="G616" s="10">
        <f>G621+G625+G617</f>
        <v>1075.4000000000001</v>
      </c>
      <c r="H616" s="10">
        <f>H621+H625+H617</f>
        <v>669.053</v>
      </c>
      <c r="I616" s="389">
        <f t="shared" si="91"/>
        <v>62.214338850660212</v>
      </c>
    </row>
    <row r="617" spans="1:9" s="191" customFormat="1" ht="97.15" customHeight="1" x14ac:dyDescent="0.25">
      <c r="A617" s="31" t="s">
        <v>293</v>
      </c>
      <c r="B617" s="392" t="s">
        <v>1402</v>
      </c>
      <c r="C617" s="399" t="s">
        <v>264</v>
      </c>
      <c r="D617" s="399" t="s">
        <v>215</v>
      </c>
      <c r="E617" s="392"/>
      <c r="F617" s="2"/>
      <c r="G617" s="10">
        <f>G618</f>
        <v>671</v>
      </c>
      <c r="H617" s="10">
        <f>H618</f>
        <v>383.24</v>
      </c>
      <c r="I617" s="389">
        <f t="shared" si="91"/>
        <v>57.114754098360656</v>
      </c>
    </row>
    <row r="618" spans="1:9" s="191" customFormat="1" ht="84.2" customHeight="1" x14ac:dyDescent="0.25">
      <c r="A618" s="396" t="s">
        <v>127</v>
      </c>
      <c r="B618" s="392" t="s">
        <v>1402</v>
      </c>
      <c r="C618" s="399" t="s">
        <v>264</v>
      </c>
      <c r="D618" s="399" t="s">
        <v>215</v>
      </c>
      <c r="E618" s="392" t="s">
        <v>128</v>
      </c>
      <c r="F618" s="2"/>
      <c r="G618" s="10">
        <f>G619</f>
        <v>671</v>
      </c>
      <c r="H618" s="10">
        <f>H619</f>
        <v>383.24</v>
      </c>
      <c r="I618" s="389">
        <f t="shared" si="91"/>
        <v>57.114754098360656</v>
      </c>
    </row>
    <row r="619" spans="1:9" s="191" customFormat="1" ht="15" customHeight="1" x14ac:dyDescent="0.25">
      <c r="A619" s="46" t="s">
        <v>342</v>
      </c>
      <c r="B619" s="392" t="s">
        <v>1402</v>
      </c>
      <c r="C619" s="399" t="s">
        <v>264</v>
      </c>
      <c r="D619" s="399" t="s">
        <v>215</v>
      </c>
      <c r="E619" s="392" t="s">
        <v>209</v>
      </c>
      <c r="F619" s="2"/>
      <c r="G619" s="10">
        <f>'Пр.4 ведом.21'!G351</f>
        <v>671</v>
      </c>
      <c r="H619" s="10">
        <f>'Пр.4 ведом.21'!H351</f>
        <v>383.24</v>
      </c>
      <c r="I619" s="389">
        <f t="shared" si="91"/>
        <v>57.114754098360656</v>
      </c>
    </row>
    <row r="620" spans="1:9" s="191" customFormat="1" ht="34.15" customHeight="1" x14ac:dyDescent="0.25">
      <c r="A620" s="45" t="s">
        <v>261</v>
      </c>
      <c r="B620" s="392" t="s">
        <v>1402</v>
      </c>
      <c r="C620" s="399" t="s">
        <v>264</v>
      </c>
      <c r="D620" s="399" t="s">
        <v>215</v>
      </c>
      <c r="E620" s="392" t="s">
        <v>209</v>
      </c>
      <c r="F620" s="2">
        <v>903</v>
      </c>
      <c r="G620" s="10">
        <f>G619</f>
        <v>671</v>
      </c>
      <c r="H620" s="10">
        <f>H619</f>
        <v>383.24</v>
      </c>
      <c r="I620" s="389">
        <f t="shared" si="91"/>
        <v>57.114754098360656</v>
      </c>
    </row>
    <row r="621" spans="1:9" s="191" customFormat="1" ht="68.45" customHeight="1" x14ac:dyDescent="0.25">
      <c r="A621" s="31" t="s">
        <v>289</v>
      </c>
      <c r="B621" s="392" t="s">
        <v>1209</v>
      </c>
      <c r="C621" s="399" t="s">
        <v>264</v>
      </c>
      <c r="D621" s="399" t="s">
        <v>215</v>
      </c>
      <c r="E621" s="392"/>
      <c r="F621" s="2"/>
      <c r="G621" s="10">
        <f>G622</f>
        <v>106</v>
      </c>
      <c r="H621" s="10">
        <f>H622</f>
        <v>77.772000000000006</v>
      </c>
      <c r="I621" s="389">
        <f t="shared" si="91"/>
        <v>73.369811320754721</v>
      </c>
    </row>
    <row r="622" spans="1:9" s="191" customFormat="1" ht="69" customHeight="1" x14ac:dyDescent="0.25">
      <c r="A622" s="396" t="s">
        <v>127</v>
      </c>
      <c r="B622" s="392" t="s">
        <v>1209</v>
      </c>
      <c r="C622" s="399" t="s">
        <v>264</v>
      </c>
      <c r="D622" s="399" t="s">
        <v>215</v>
      </c>
      <c r="E622" s="392" t="s">
        <v>128</v>
      </c>
      <c r="F622" s="2"/>
      <c r="G622" s="10">
        <f>G623</f>
        <v>106</v>
      </c>
      <c r="H622" s="10">
        <f>H623</f>
        <v>77.772000000000006</v>
      </c>
      <c r="I622" s="389">
        <f t="shared" si="91"/>
        <v>73.369811320754721</v>
      </c>
    </row>
    <row r="623" spans="1:9" s="191" customFormat="1" ht="20.25" customHeight="1" x14ac:dyDescent="0.25">
      <c r="A623" s="46" t="s">
        <v>342</v>
      </c>
      <c r="B623" s="392" t="s">
        <v>1209</v>
      </c>
      <c r="C623" s="399" t="s">
        <v>264</v>
      </c>
      <c r="D623" s="399" t="s">
        <v>215</v>
      </c>
      <c r="E623" s="392" t="s">
        <v>209</v>
      </c>
      <c r="F623" s="2"/>
      <c r="G623" s="10">
        <f>'Пр.4 ведом.21'!G354</f>
        <v>106</v>
      </c>
      <c r="H623" s="10">
        <f>'Пр.4 ведом.21'!H354</f>
        <v>77.772000000000006</v>
      </c>
      <c r="I623" s="389">
        <f t="shared" si="91"/>
        <v>73.369811320754721</v>
      </c>
    </row>
    <row r="624" spans="1:9" s="191" customFormat="1" ht="46.9" customHeight="1" x14ac:dyDescent="0.25">
      <c r="A624" s="45" t="s">
        <v>261</v>
      </c>
      <c r="B624" s="392" t="s">
        <v>1209</v>
      </c>
      <c r="C624" s="399" t="s">
        <v>264</v>
      </c>
      <c r="D624" s="399" t="s">
        <v>215</v>
      </c>
      <c r="E624" s="392" t="s">
        <v>209</v>
      </c>
      <c r="F624" s="2">
        <v>903</v>
      </c>
      <c r="G624" s="10">
        <f>G623</f>
        <v>106</v>
      </c>
      <c r="H624" s="10">
        <f>H623</f>
        <v>77.772000000000006</v>
      </c>
      <c r="I624" s="389">
        <f t="shared" si="91"/>
        <v>73.369811320754721</v>
      </c>
    </row>
    <row r="625" spans="1:9" s="191" customFormat="1" ht="68.45" customHeight="1" x14ac:dyDescent="0.25">
      <c r="A625" s="31" t="s">
        <v>291</v>
      </c>
      <c r="B625" s="392" t="s">
        <v>1210</v>
      </c>
      <c r="C625" s="399" t="s">
        <v>264</v>
      </c>
      <c r="D625" s="399" t="s">
        <v>215</v>
      </c>
      <c r="E625" s="392"/>
      <c r="F625" s="2"/>
      <c r="G625" s="10">
        <f>G626</f>
        <v>298.40000000000003</v>
      </c>
      <c r="H625" s="10">
        <f>H626</f>
        <v>208.041</v>
      </c>
      <c r="I625" s="389">
        <f t="shared" si="91"/>
        <v>69.71883378016085</v>
      </c>
    </row>
    <row r="626" spans="1:9" s="191" customFormat="1" ht="71.45" customHeight="1" x14ac:dyDescent="0.25">
      <c r="A626" s="396" t="s">
        <v>127</v>
      </c>
      <c r="B626" s="392" t="s">
        <v>1210</v>
      </c>
      <c r="C626" s="399" t="s">
        <v>264</v>
      </c>
      <c r="D626" s="399" t="s">
        <v>215</v>
      </c>
      <c r="E626" s="392" t="s">
        <v>128</v>
      </c>
      <c r="F626" s="2"/>
      <c r="G626" s="10">
        <f>G627</f>
        <v>298.40000000000003</v>
      </c>
      <c r="H626" s="10">
        <f>H627</f>
        <v>208.041</v>
      </c>
      <c r="I626" s="389">
        <f t="shared" si="91"/>
        <v>69.71883378016085</v>
      </c>
    </row>
    <row r="627" spans="1:9" s="191" customFormat="1" ht="23.25" customHeight="1" x14ac:dyDescent="0.25">
      <c r="A627" s="46" t="s">
        <v>342</v>
      </c>
      <c r="B627" s="392" t="s">
        <v>1210</v>
      </c>
      <c r="C627" s="399" t="s">
        <v>264</v>
      </c>
      <c r="D627" s="399" t="s">
        <v>215</v>
      </c>
      <c r="E627" s="392" t="s">
        <v>209</v>
      </c>
      <c r="F627" s="2"/>
      <c r="G627" s="10">
        <f>'Пр.4 ведом.21'!G357</f>
        <v>298.40000000000003</v>
      </c>
      <c r="H627" s="10">
        <f>'Пр.4 ведом.21'!H357</f>
        <v>208.041</v>
      </c>
      <c r="I627" s="389">
        <f t="shared" si="91"/>
        <v>69.71883378016085</v>
      </c>
    </row>
    <row r="628" spans="1:9" s="191" customFormat="1" ht="36" customHeight="1" x14ac:dyDescent="0.25">
      <c r="A628" s="45" t="s">
        <v>261</v>
      </c>
      <c r="B628" s="392" t="s">
        <v>1210</v>
      </c>
      <c r="C628" s="399" t="s">
        <v>264</v>
      </c>
      <c r="D628" s="399" t="s">
        <v>215</v>
      </c>
      <c r="E628" s="392" t="s">
        <v>209</v>
      </c>
      <c r="F628" s="2">
        <v>903</v>
      </c>
      <c r="G628" s="10">
        <f>G627</f>
        <v>298.40000000000003</v>
      </c>
      <c r="H628" s="10">
        <f>H627</f>
        <v>208.041</v>
      </c>
      <c r="I628" s="389">
        <f t="shared" si="91"/>
        <v>69.71883378016085</v>
      </c>
    </row>
    <row r="629" spans="1:9" s="191" customFormat="1" ht="17.45" customHeight="1" x14ac:dyDescent="0.25">
      <c r="A629" s="73" t="s">
        <v>298</v>
      </c>
      <c r="B629" s="392" t="s">
        <v>1208</v>
      </c>
      <c r="C629" s="399" t="s">
        <v>299</v>
      </c>
      <c r="D629" s="73"/>
      <c r="E629" s="73"/>
      <c r="F629" s="2"/>
      <c r="G629" s="10">
        <f>G630</f>
        <v>2442</v>
      </c>
      <c r="H629" s="10">
        <f>H630</f>
        <v>2081.2950000000001</v>
      </c>
      <c r="I629" s="389">
        <f t="shared" si="91"/>
        <v>85.229115479115478</v>
      </c>
    </row>
    <row r="630" spans="1:9" s="191" customFormat="1" ht="18" customHeight="1" x14ac:dyDescent="0.25">
      <c r="A630" s="73" t="s">
        <v>300</v>
      </c>
      <c r="B630" s="392" t="s">
        <v>1208</v>
      </c>
      <c r="C630" s="399" t="s">
        <v>299</v>
      </c>
      <c r="D630" s="399" t="s">
        <v>118</v>
      </c>
      <c r="E630" s="73"/>
      <c r="F630" s="2"/>
      <c r="G630" s="10">
        <f>G631+G635</f>
        <v>2442</v>
      </c>
      <c r="H630" s="10">
        <f>H631+H635</f>
        <v>2081.2950000000001</v>
      </c>
      <c r="I630" s="389">
        <f t="shared" si="91"/>
        <v>85.229115479115478</v>
      </c>
    </row>
    <row r="631" spans="1:9" s="191" customFormat="1" ht="78" customHeight="1" x14ac:dyDescent="0.25">
      <c r="A631" s="31" t="s">
        <v>293</v>
      </c>
      <c r="B631" s="392" t="s">
        <v>1402</v>
      </c>
      <c r="C631" s="399" t="s">
        <v>299</v>
      </c>
      <c r="D631" s="399" t="s">
        <v>118</v>
      </c>
      <c r="E631" s="399"/>
      <c r="F631" s="2"/>
      <c r="G631" s="10">
        <f>G632</f>
        <v>2100.6</v>
      </c>
      <c r="H631" s="10">
        <f>H632</f>
        <v>1868.6410000000001</v>
      </c>
      <c r="I631" s="389">
        <f t="shared" si="91"/>
        <v>88.957488336665719</v>
      </c>
    </row>
    <row r="632" spans="1:9" s="191" customFormat="1" ht="63" customHeight="1" x14ac:dyDescent="0.25">
      <c r="A632" s="396" t="s">
        <v>127</v>
      </c>
      <c r="B632" s="392" t="s">
        <v>1402</v>
      </c>
      <c r="C632" s="399" t="s">
        <v>299</v>
      </c>
      <c r="D632" s="399" t="s">
        <v>118</v>
      </c>
      <c r="E632" s="399" t="s">
        <v>128</v>
      </c>
      <c r="F632" s="2"/>
      <c r="G632" s="10">
        <f>G633</f>
        <v>2100.6</v>
      </c>
      <c r="H632" s="10">
        <f>H633</f>
        <v>1868.6410000000001</v>
      </c>
      <c r="I632" s="389">
        <f t="shared" si="91"/>
        <v>88.957488336665719</v>
      </c>
    </row>
    <row r="633" spans="1:9" s="191" customFormat="1" ht="19.149999999999999" customHeight="1" x14ac:dyDescent="0.25">
      <c r="A633" s="396" t="s">
        <v>208</v>
      </c>
      <c r="B633" s="392" t="s">
        <v>1402</v>
      </c>
      <c r="C633" s="399" t="s">
        <v>299</v>
      </c>
      <c r="D633" s="399" t="s">
        <v>118</v>
      </c>
      <c r="E633" s="399" t="s">
        <v>209</v>
      </c>
      <c r="F633" s="2"/>
      <c r="G633" s="10">
        <f>'Пр.3 Рд,пр, ЦС,ВР 21'!F882</f>
        <v>2100.6</v>
      </c>
      <c r="H633" s="10">
        <f>'Пр.3 Рд,пр, ЦС,ВР 21'!G882</f>
        <v>1868.6410000000001</v>
      </c>
      <c r="I633" s="389">
        <f t="shared" si="91"/>
        <v>88.957488336665719</v>
      </c>
    </row>
    <row r="634" spans="1:9" s="191" customFormat="1" ht="32.450000000000003" customHeight="1" x14ac:dyDescent="0.25">
      <c r="A634" s="45" t="s">
        <v>261</v>
      </c>
      <c r="B634" s="392" t="s">
        <v>1402</v>
      </c>
      <c r="C634" s="399" t="s">
        <v>299</v>
      </c>
      <c r="D634" s="399" t="s">
        <v>118</v>
      </c>
      <c r="E634" s="399" t="s">
        <v>209</v>
      </c>
      <c r="F634" s="2">
        <v>903</v>
      </c>
      <c r="G634" s="10">
        <f>G633</f>
        <v>2100.6</v>
      </c>
      <c r="H634" s="10">
        <f>H633</f>
        <v>1868.6410000000001</v>
      </c>
      <c r="I634" s="389">
        <f t="shared" si="91"/>
        <v>88.957488336665719</v>
      </c>
    </row>
    <row r="635" spans="1:9" s="191" customFormat="1" ht="70.5" customHeight="1" x14ac:dyDescent="0.25">
      <c r="A635" s="396" t="s">
        <v>331</v>
      </c>
      <c r="B635" s="392" t="s">
        <v>1289</v>
      </c>
      <c r="C635" s="392" t="s">
        <v>299</v>
      </c>
      <c r="D635" s="392" t="s">
        <v>118</v>
      </c>
      <c r="E635" s="392"/>
      <c r="F635" s="392"/>
      <c r="G635" s="10">
        <f>G636</f>
        <v>341.4</v>
      </c>
      <c r="H635" s="10">
        <f>H636</f>
        <v>212.654</v>
      </c>
      <c r="I635" s="389">
        <f t="shared" si="91"/>
        <v>62.288810779144697</v>
      </c>
    </row>
    <row r="636" spans="1:9" s="191" customFormat="1" ht="78.75" x14ac:dyDescent="0.25">
      <c r="A636" s="396" t="s">
        <v>127</v>
      </c>
      <c r="B636" s="392" t="s">
        <v>1289</v>
      </c>
      <c r="C636" s="392" t="s">
        <v>299</v>
      </c>
      <c r="D636" s="392" t="s">
        <v>118</v>
      </c>
      <c r="E636" s="392" t="s">
        <v>128</v>
      </c>
      <c r="F636" s="392"/>
      <c r="G636" s="10">
        <f>G637</f>
        <v>341.4</v>
      </c>
      <c r="H636" s="10">
        <f>H637</f>
        <v>212.654</v>
      </c>
      <c r="I636" s="389">
        <f t="shared" si="91"/>
        <v>62.288810779144697</v>
      </c>
    </row>
    <row r="637" spans="1:9" s="191" customFormat="1" ht="15.75" x14ac:dyDescent="0.25">
      <c r="A637" s="396" t="s">
        <v>208</v>
      </c>
      <c r="B637" s="392" t="s">
        <v>1289</v>
      </c>
      <c r="C637" s="392" t="s">
        <v>299</v>
      </c>
      <c r="D637" s="392" t="s">
        <v>118</v>
      </c>
      <c r="E637" s="392" t="s">
        <v>209</v>
      </c>
      <c r="F637" s="392"/>
      <c r="G637" s="10">
        <f>'Пр.4 ведом.21'!G426</f>
        <v>341.4</v>
      </c>
      <c r="H637" s="10">
        <f>'Пр.4 ведом.21'!H426</f>
        <v>212.654</v>
      </c>
      <c r="I637" s="389">
        <f t="shared" si="91"/>
        <v>62.288810779144697</v>
      </c>
    </row>
    <row r="638" spans="1:9" s="191" customFormat="1" ht="37.15" customHeight="1" x14ac:dyDescent="0.25">
      <c r="A638" s="45" t="s">
        <v>261</v>
      </c>
      <c r="B638" s="392" t="s">
        <v>1289</v>
      </c>
      <c r="C638" s="392" t="s">
        <v>299</v>
      </c>
      <c r="D638" s="392" t="s">
        <v>118</v>
      </c>
      <c r="E638" s="392" t="s">
        <v>209</v>
      </c>
      <c r="F638" s="392" t="s">
        <v>627</v>
      </c>
      <c r="G638" s="10">
        <f>G637</f>
        <v>341.4</v>
      </c>
      <c r="H638" s="10">
        <f>H637</f>
        <v>212.654</v>
      </c>
      <c r="I638" s="389">
        <f t="shared" si="91"/>
        <v>62.288810779144697</v>
      </c>
    </row>
    <row r="639" spans="1:9" s="191" customFormat="1" ht="36" customHeight="1" x14ac:dyDescent="0.25">
      <c r="A639" s="394" t="s">
        <v>901</v>
      </c>
      <c r="B639" s="395" t="s">
        <v>1213</v>
      </c>
      <c r="C639" s="399"/>
      <c r="D639" s="399"/>
      <c r="E639" s="399"/>
      <c r="F639" s="2"/>
      <c r="G639" s="59">
        <f t="shared" ref="G639:H643" si="95">G640</f>
        <v>50</v>
      </c>
      <c r="H639" s="59">
        <f t="shared" si="95"/>
        <v>50</v>
      </c>
      <c r="I639" s="492">
        <f t="shared" si="91"/>
        <v>100</v>
      </c>
    </row>
    <row r="640" spans="1:9" s="191" customFormat="1" ht="20.100000000000001" customHeight="1" x14ac:dyDescent="0.25">
      <c r="A640" s="73" t="s">
        <v>298</v>
      </c>
      <c r="B640" s="392" t="s">
        <v>1213</v>
      </c>
      <c r="C640" s="399" t="s">
        <v>299</v>
      </c>
      <c r="D640" s="399"/>
      <c r="E640" s="399"/>
      <c r="F640" s="2"/>
      <c r="G640" s="10">
        <f t="shared" si="95"/>
        <v>50</v>
      </c>
      <c r="H640" s="10">
        <f t="shared" si="95"/>
        <v>50</v>
      </c>
      <c r="I640" s="389">
        <f t="shared" si="91"/>
        <v>100</v>
      </c>
    </row>
    <row r="641" spans="1:9" s="191" customFormat="1" ht="20.100000000000001" customHeight="1" x14ac:dyDescent="0.25">
      <c r="A641" s="73" t="s">
        <v>300</v>
      </c>
      <c r="B641" s="392" t="s">
        <v>1213</v>
      </c>
      <c r="C641" s="399" t="s">
        <v>299</v>
      </c>
      <c r="D641" s="399" t="s">
        <v>118</v>
      </c>
      <c r="E641" s="399"/>
      <c r="F641" s="2"/>
      <c r="G641" s="10">
        <f t="shared" si="95"/>
        <v>50</v>
      </c>
      <c r="H641" s="10">
        <f t="shared" si="95"/>
        <v>50</v>
      </c>
      <c r="I641" s="389">
        <f t="shared" si="91"/>
        <v>100</v>
      </c>
    </row>
    <row r="642" spans="1:9" s="191" customFormat="1" ht="35.450000000000003" customHeight="1" x14ac:dyDescent="0.25">
      <c r="A642" s="396" t="s">
        <v>820</v>
      </c>
      <c r="B642" s="392" t="s">
        <v>1214</v>
      </c>
      <c r="C642" s="399" t="s">
        <v>299</v>
      </c>
      <c r="D642" s="399" t="s">
        <v>118</v>
      </c>
      <c r="E642" s="399"/>
      <c r="F642" s="2"/>
      <c r="G642" s="10">
        <f t="shared" si="95"/>
        <v>50</v>
      </c>
      <c r="H642" s="10">
        <f t="shared" si="95"/>
        <v>50</v>
      </c>
      <c r="I642" s="389">
        <f t="shared" si="91"/>
        <v>100</v>
      </c>
    </row>
    <row r="643" spans="1:9" s="191" customFormat="1" ht="36.75" customHeight="1" x14ac:dyDescent="0.25">
      <c r="A643" s="396" t="s">
        <v>131</v>
      </c>
      <c r="B643" s="392" t="s">
        <v>1214</v>
      </c>
      <c r="C643" s="399" t="s">
        <v>299</v>
      </c>
      <c r="D643" s="399" t="s">
        <v>118</v>
      </c>
      <c r="E643" s="399" t="s">
        <v>132</v>
      </c>
      <c r="F643" s="2"/>
      <c r="G643" s="10">
        <f t="shared" si="95"/>
        <v>50</v>
      </c>
      <c r="H643" s="10">
        <f t="shared" si="95"/>
        <v>50</v>
      </c>
      <c r="I643" s="389">
        <f t="shared" si="91"/>
        <v>100</v>
      </c>
    </row>
    <row r="644" spans="1:9" s="191" customFormat="1" ht="33" customHeight="1" x14ac:dyDescent="0.25">
      <c r="A644" s="396" t="s">
        <v>133</v>
      </c>
      <c r="B644" s="392" t="s">
        <v>1214</v>
      </c>
      <c r="C644" s="399" t="s">
        <v>299</v>
      </c>
      <c r="D644" s="399" t="s">
        <v>118</v>
      </c>
      <c r="E644" s="399" t="s">
        <v>134</v>
      </c>
      <c r="F644" s="2"/>
      <c r="G644" s="10">
        <f>'Пр.4 ведом.21'!G430</f>
        <v>50</v>
      </c>
      <c r="H644" s="10">
        <f>'Пр.4 ведом.21'!H430</f>
        <v>50</v>
      </c>
      <c r="I644" s="389">
        <f t="shared" si="91"/>
        <v>100</v>
      </c>
    </row>
    <row r="645" spans="1:9" s="191" customFormat="1" ht="36" customHeight="1" x14ac:dyDescent="0.25">
      <c r="A645" s="45" t="s">
        <v>261</v>
      </c>
      <c r="B645" s="392" t="s">
        <v>1214</v>
      </c>
      <c r="C645" s="399" t="s">
        <v>299</v>
      </c>
      <c r="D645" s="399" t="s">
        <v>118</v>
      </c>
      <c r="E645" s="399" t="s">
        <v>134</v>
      </c>
      <c r="F645" s="2">
        <v>903</v>
      </c>
      <c r="G645" s="10">
        <f>G644</f>
        <v>50</v>
      </c>
      <c r="H645" s="10">
        <f>H644</f>
        <v>50</v>
      </c>
      <c r="I645" s="389">
        <f t="shared" si="91"/>
        <v>100</v>
      </c>
    </row>
    <row r="646" spans="1:9" s="191" customFormat="1" ht="31.9" customHeight="1" x14ac:dyDescent="0.25">
      <c r="A646" s="394" t="s">
        <v>1009</v>
      </c>
      <c r="B646" s="395" t="s">
        <v>1215</v>
      </c>
      <c r="C646" s="7"/>
      <c r="D646" s="7"/>
      <c r="E646" s="7"/>
      <c r="F646" s="3"/>
      <c r="G646" s="59">
        <f>G647</f>
        <v>68.7</v>
      </c>
      <c r="H646" s="59">
        <f>H647</f>
        <v>68.7</v>
      </c>
      <c r="I646" s="492">
        <f t="shared" si="91"/>
        <v>100</v>
      </c>
    </row>
    <row r="647" spans="1:9" s="191" customFormat="1" ht="20.100000000000001" customHeight="1" x14ac:dyDescent="0.25">
      <c r="A647" s="68" t="s">
        <v>298</v>
      </c>
      <c r="B647" s="392" t="s">
        <v>1215</v>
      </c>
      <c r="C647" s="399" t="s">
        <v>299</v>
      </c>
      <c r="D647" s="399"/>
      <c r="E647" s="399"/>
      <c r="F647" s="74"/>
      <c r="G647" s="10">
        <f t="shared" ref="G647:H647" si="96">G648</f>
        <v>68.7</v>
      </c>
      <c r="H647" s="10">
        <f t="shared" si="96"/>
        <v>68.7</v>
      </c>
      <c r="I647" s="389">
        <f t="shared" si="91"/>
        <v>100</v>
      </c>
    </row>
    <row r="648" spans="1:9" s="191" customFormat="1" ht="20.100000000000001" customHeight="1" x14ac:dyDescent="0.25">
      <c r="A648" s="68" t="s">
        <v>300</v>
      </c>
      <c r="B648" s="392" t="s">
        <v>1215</v>
      </c>
      <c r="C648" s="399" t="s">
        <v>299</v>
      </c>
      <c r="D648" s="399" t="s">
        <v>118</v>
      </c>
      <c r="E648" s="399"/>
      <c r="F648" s="74"/>
      <c r="G648" s="10">
        <f t="shared" ref="G648:H650" si="97">G649</f>
        <v>68.7</v>
      </c>
      <c r="H648" s="10">
        <f t="shared" si="97"/>
        <v>68.7</v>
      </c>
      <c r="I648" s="389">
        <f t="shared" si="91"/>
        <v>100</v>
      </c>
    </row>
    <row r="649" spans="1:9" s="191" customFormat="1" ht="31.5" x14ac:dyDescent="0.25">
      <c r="A649" s="396" t="s">
        <v>1465</v>
      </c>
      <c r="B649" s="392" t="s">
        <v>1216</v>
      </c>
      <c r="C649" s="399" t="s">
        <v>299</v>
      </c>
      <c r="D649" s="399" t="s">
        <v>118</v>
      </c>
      <c r="E649" s="399"/>
      <c r="F649" s="2"/>
      <c r="G649" s="10">
        <f t="shared" si="97"/>
        <v>68.7</v>
      </c>
      <c r="H649" s="10">
        <f t="shared" si="97"/>
        <v>68.7</v>
      </c>
      <c r="I649" s="389">
        <f t="shared" si="91"/>
        <v>100</v>
      </c>
    </row>
    <row r="650" spans="1:9" s="191" customFormat="1" ht="39.200000000000003" customHeight="1" x14ac:dyDescent="0.25">
      <c r="A650" s="396" t="s">
        <v>131</v>
      </c>
      <c r="B650" s="392" t="s">
        <v>1216</v>
      </c>
      <c r="C650" s="399" t="s">
        <v>299</v>
      </c>
      <c r="D650" s="399" t="s">
        <v>118</v>
      </c>
      <c r="E650" s="399" t="s">
        <v>132</v>
      </c>
      <c r="F650" s="2"/>
      <c r="G650" s="10">
        <f t="shared" si="97"/>
        <v>68.7</v>
      </c>
      <c r="H650" s="10">
        <f t="shared" si="97"/>
        <v>68.7</v>
      </c>
      <c r="I650" s="389">
        <f t="shared" si="91"/>
        <v>100</v>
      </c>
    </row>
    <row r="651" spans="1:9" s="191" customFormat="1" ht="36.75" customHeight="1" x14ac:dyDescent="0.25">
      <c r="A651" s="396" t="s">
        <v>133</v>
      </c>
      <c r="B651" s="392" t="s">
        <v>1216</v>
      </c>
      <c r="C651" s="399" t="s">
        <v>299</v>
      </c>
      <c r="D651" s="399" t="s">
        <v>118</v>
      </c>
      <c r="E651" s="399" t="s">
        <v>134</v>
      </c>
      <c r="F651" s="2"/>
      <c r="G651" s="10">
        <f>'Пр.4 ведом.21'!G434</f>
        <v>68.7</v>
      </c>
      <c r="H651" s="10">
        <f>'Пр.4 ведом.21'!H434</f>
        <v>68.7</v>
      </c>
      <c r="I651" s="389">
        <f t="shared" si="91"/>
        <v>100</v>
      </c>
    </row>
    <row r="652" spans="1:9" s="191" customFormat="1" ht="40.15" customHeight="1" x14ac:dyDescent="0.25">
      <c r="A652" s="45" t="s">
        <v>261</v>
      </c>
      <c r="B652" s="392" t="s">
        <v>1216</v>
      </c>
      <c r="C652" s="399" t="s">
        <v>299</v>
      </c>
      <c r="D652" s="399" t="s">
        <v>118</v>
      </c>
      <c r="E652" s="399" t="s">
        <v>134</v>
      </c>
      <c r="F652" s="2">
        <v>903</v>
      </c>
      <c r="G652" s="10">
        <f>G651</f>
        <v>68.7</v>
      </c>
      <c r="H652" s="10">
        <f>H651</f>
        <v>68.7</v>
      </c>
      <c r="I652" s="389">
        <f t="shared" si="91"/>
        <v>100</v>
      </c>
    </row>
    <row r="653" spans="1:9" s="387" customFormat="1" ht="40.15" hidden="1" customHeight="1" x14ac:dyDescent="0.25">
      <c r="A653" s="34" t="s">
        <v>1566</v>
      </c>
      <c r="B653" s="395" t="s">
        <v>1568</v>
      </c>
      <c r="C653" s="399"/>
      <c r="D653" s="399"/>
      <c r="E653" s="399"/>
      <c r="F653" s="2"/>
      <c r="G653" s="59">
        <f t="shared" ref="G653:H657" si="98">G654</f>
        <v>0</v>
      </c>
      <c r="H653" s="59">
        <f t="shared" si="98"/>
        <v>0</v>
      </c>
      <c r="I653" s="389" t="e">
        <f t="shared" si="91"/>
        <v>#DIV/0!</v>
      </c>
    </row>
    <row r="654" spans="1:9" s="387" customFormat="1" ht="40.15" hidden="1" customHeight="1" x14ac:dyDescent="0.25">
      <c r="A654" s="68" t="s">
        <v>298</v>
      </c>
      <c r="B654" s="392" t="s">
        <v>1568</v>
      </c>
      <c r="C654" s="399" t="s">
        <v>299</v>
      </c>
      <c r="D654" s="399"/>
      <c r="E654" s="399"/>
      <c r="F654" s="2"/>
      <c r="G654" s="10">
        <f t="shared" si="98"/>
        <v>0</v>
      </c>
      <c r="H654" s="10">
        <f t="shared" si="98"/>
        <v>0</v>
      </c>
      <c r="I654" s="389" t="e">
        <f t="shared" si="91"/>
        <v>#DIV/0!</v>
      </c>
    </row>
    <row r="655" spans="1:9" s="387" customFormat="1" ht="40.15" hidden="1" customHeight="1" x14ac:dyDescent="0.25">
      <c r="A655" s="68" t="s">
        <v>300</v>
      </c>
      <c r="B655" s="392" t="s">
        <v>1568</v>
      </c>
      <c r="C655" s="399" t="s">
        <v>299</v>
      </c>
      <c r="D655" s="399" t="s">
        <v>118</v>
      </c>
      <c r="E655" s="399"/>
      <c r="F655" s="2"/>
      <c r="G655" s="10">
        <f t="shared" si="98"/>
        <v>0</v>
      </c>
      <c r="H655" s="10">
        <f t="shared" si="98"/>
        <v>0</v>
      </c>
      <c r="I655" s="389" t="e">
        <f t="shared" si="91"/>
        <v>#DIV/0!</v>
      </c>
    </row>
    <row r="656" spans="1:9" s="387" customFormat="1" ht="40.15" hidden="1" customHeight="1" x14ac:dyDescent="0.25">
      <c r="A656" s="31" t="s">
        <v>1567</v>
      </c>
      <c r="B656" s="392" t="s">
        <v>1569</v>
      </c>
      <c r="C656" s="399" t="s">
        <v>299</v>
      </c>
      <c r="D656" s="399" t="s">
        <v>118</v>
      </c>
      <c r="E656" s="399"/>
      <c r="F656" s="2"/>
      <c r="G656" s="10">
        <f t="shared" si="98"/>
        <v>0</v>
      </c>
      <c r="H656" s="10">
        <f t="shared" si="98"/>
        <v>0</v>
      </c>
      <c r="I656" s="389" t="e">
        <f t="shared" si="91"/>
        <v>#DIV/0!</v>
      </c>
    </row>
    <row r="657" spans="1:9" s="387" customFormat="1" ht="40.15" hidden="1" customHeight="1" x14ac:dyDescent="0.25">
      <c r="A657" s="396" t="s">
        <v>131</v>
      </c>
      <c r="B657" s="392" t="s">
        <v>1569</v>
      </c>
      <c r="C657" s="399" t="s">
        <v>299</v>
      </c>
      <c r="D657" s="399" t="s">
        <v>118</v>
      </c>
      <c r="E657" s="399" t="s">
        <v>132</v>
      </c>
      <c r="F657" s="2"/>
      <c r="G657" s="10">
        <f t="shared" si="98"/>
        <v>0</v>
      </c>
      <c r="H657" s="10">
        <f t="shared" si="98"/>
        <v>0</v>
      </c>
      <c r="I657" s="389" t="e">
        <f t="shared" ref="I657:I720" si="99">H657/G657*100</f>
        <v>#DIV/0!</v>
      </c>
    </row>
    <row r="658" spans="1:9" s="387" customFormat="1" ht="40.15" hidden="1" customHeight="1" x14ac:dyDescent="0.25">
      <c r="A658" s="396" t="s">
        <v>133</v>
      </c>
      <c r="B658" s="392" t="s">
        <v>1569</v>
      </c>
      <c r="C658" s="399" t="s">
        <v>299</v>
      </c>
      <c r="D658" s="399" t="s">
        <v>118</v>
      </c>
      <c r="E658" s="399" t="s">
        <v>134</v>
      </c>
      <c r="F658" s="2"/>
      <c r="G658" s="10">
        <f>'Пр.4 ведом.21'!G438</f>
        <v>0</v>
      </c>
      <c r="H658" s="10">
        <f>'Пр.4 ведом.21'!H438</f>
        <v>0</v>
      </c>
      <c r="I658" s="389" t="e">
        <f t="shared" si="99"/>
        <v>#DIV/0!</v>
      </c>
    </row>
    <row r="659" spans="1:9" s="387" customFormat="1" ht="40.15" hidden="1" customHeight="1" x14ac:dyDescent="0.25">
      <c r="A659" s="396" t="s">
        <v>133</v>
      </c>
      <c r="B659" s="392" t="s">
        <v>1569</v>
      </c>
      <c r="C659" s="399" t="s">
        <v>299</v>
      </c>
      <c r="D659" s="399" t="s">
        <v>118</v>
      </c>
      <c r="E659" s="399" t="s">
        <v>134</v>
      </c>
      <c r="F659" s="2">
        <v>903</v>
      </c>
      <c r="G659" s="10">
        <f>G658</f>
        <v>0</v>
      </c>
      <c r="H659" s="10">
        <f>H658</f>
        <v>0</v>
      </c>
      <c r="I659" s="389" t="e">
        <f t="shared" si="99"/>
        <v>#DIV/0!</v>
      </c>
    </row>
    <row r="660" spans="1:9" s="191" customFormat="1" ht="40.15" customHeight="1" x14ac:dyDescent="0.25">
      <c r="A660" s="195" t="s">
        <v>1177</v>
      </c>
      <c r="B660" s="395" t="s">
        <v>1211</v>
      </c>
      <c r="C660" s="395"/>
      <c r="D660" s="395"/>
      <c r="E660" s="399"/>
      <c r="F660" s="2"/>
      <c r="G660" s="59">
        <f>G663</f>
        <v>0</v>
      </c>
      <c r="H660" s="59">
        <f>H663</f>
        <v>0</v>
      </c>
      <c r="I660" s="389" t="e">
        <f t="shared" si="99"/>
        <v>#DIV/0!</v>
      </c>
    </row>
    <row r="661" spans="1:9" s="191" customFormat="1" ht="15.75" x14ac:dyDescent="0.25">
      <c r="A661" s="68" t="s">
        <v>298</v>
      </c>
      <c r="B661" s="392" t="s">
        <v>1211</v>
      </c>
      <c r="C661" s="392" t="s">
        <v>299</v>
      </c>
      <c r="D661" s="392"/>
      <c r="E661" s="399"/>
      <c r="F661" s="2"/>
      <c r="G661" s="10">
        <f t="shared" ref="G661:H664" si="100">G662</f>
        <v>0</v>
      </c>
      <c r="H661" s="10">
        <f t="shared" si="100"/>
        <v>0</v>
      </c>
      <c r="I661" s="389" t="e">
        <f t="shared" si="99"/>
        <v>#DIV/0!</v>
      </c>
    </row>
    <row r="662" spans="1:9" s="191" customFormat="1" ht="15.75" x14ac:dyDescent="0.25">
      <c r="A662" s="68" t="s">
        <v>300</v>
      </c>
      <c r="B662" s="392" t="s">
        <v>1211</v>
      </c>
      <c r="C662" s="392" t="s">
        <v>299</v>
      </c>
      <c r="D662" s="392" t="s">
        <v>118</v>
      </c>
      <c r="E662" s="399"/>
      <c r="F662" s="2"/>
      <c r="G662" s="10">
        <f t="shared" si="100"/>
        <v>0</v>
      </c>
      <c r="H662" s="10">
        <f t="shared" si="100"/>
        <v>0</v>
      </c>
      <c r="I662" s="389" t="e">
        <f t="shared" si="99"/>
        <v>#DIV/0!</v>
      </c>
    </row>
    <row r="663" spans="1:9" s="191" customFormat="1" ht="15.75" x14ac:dyDescent="0.25">
      <c r="A663" s="98" t="s">
        <v>1184</v>
      </c>
      <c r="B663" s="392" t="s">
        <v>1212</v>
      </c>
      <c r="C663" s="392" t="s">
        <v>299</v>
      </c>
      <c r="D663" s="392" t="s">
        <v>118</v>
      </c>
      <c r="E663" s="399"/>
      <c r="F663" s="2"/>
      <c r="G663" s="10">
        <f t="shared" si="100"/>
        <v>0</v>
      </c>
      <c r="H663" s="10">
        <f t="shared" si="100"/>
        <v>0</v>
      </c>
      <c r="I663" s="389" t="e">
        <f t="shared" si="99"/>
        <v>#DIV/0!</v>
      </c>
    </row>
    <row r="664" spans="1:9" s="191" customFormat="1" ht="40.15" customHeight="1" x14ac:dyDescent="0.25">
      <c r="A664" s="396" t="s">
        <v>131</v>
      </c>
      <c r="B664" s="392" t="s">
        <v>1212</v>
      </c>
      <c r="C664" s="392" t="s">
        <v>299</v>
      </c>
      <c r="D664" s="392" t="s">
        <v>118</v>
      </c>
      <c r="E664" s="399" t="s">
        <v>132</v>
      </c>
      <c r="F664" s="2"/>
      <c r="G664" s="10">
        <f t="shared" si="100"/>
        <v>0</v>
      </c>
      <c r="H664" s="10">
        <f t="shared" si="100"/>
        <v>0</v>
      </c>
      <c r="I664" s="389" t="e">
        <f t="shared" si="99"/>
        <v>#DIV/0!</v>
      </c>
    </row>
    <row r="665" spans="1:9" s="191" customFormat="1" ht="40.15" customHeight="1" x14ac:dyDescent="0.25">
      <c r="A665" s="396" t="s">
        <v>133</v>
      </c>
      <c r="B665" s="392" t="s">
        <v>1212</v>
      </c>
      <c r="C665" s="392" t="s">
        <v>299</v>
      </c>
      <c r="D665" s="392" t="s">
        <v>118</v>
      </c>
      <c r="E665" s="399" t="s">
        <v>134</v>
      </c>
      <c r="F665" s="2"/>
      <c r="G665" s="10">
        <f>'Пр.4 ведом.21'!G442</f>
        <v>0</v>
      </c>
      <c r="H665" s="10">
        <f>'Пр.4 ведом.21'!H442</f>
        <v>0</v>
      </c>
      <c r="I665" s="389" t="e">
        <f t="shared" si="99"/>
        <v>#DIV/0!</v>
      </c>
    </row>
    <row r="666" spans="1:9" s="191" customFormat="1" ht="40.15" customHeight="1" x14ac:dyDescent="0.25">
      <c r="A666" s="45" t="s">
        <v>261</v>
      </c>
      <c r="B666" s="392" t="s">
        <v>1212</v>
      </c>
      <c r="C666" s="392" t="s">
        <v>299</v>
      </c>
      <c r="D666" s="392" t="s">
        <v>118</v>
      </c>
      <c r="E666" s="399" t="s">
        <v>134</v>
      </c>
      <c r="F666" s="2">
        <v>903</v>
      </c>
      <c r="G666" s="10">
        <f>G660</f>
        <v>0</v>
      </c>
      <c r="H666" s="10">
        <f>H660</f>
        <v>0</v>
      </c>
      <c r="I666" s="389" t="e">
        <f t="shared" si="99"/>
        <v>#DIV/0!</v>
      </c>
    </row>
    <row r="667" spans="1:9" s="191" customFormat="1" ht="40.15" customHeight="1" x14ac:dyDescent="0.25">
      <c r="A667" s="302" t="s">
        <v>1177</v>
      </c>
      <c r="B667" s="395" t="s">
        <v>1211</v>
      </c>
      <c r="C667" s="392"/>
      <c r="D667" s="392"/>
      <c r="E667" s="399"/>
      <c r="F667" s="2"/>
      <c r="G667" s="59">
        <f t="shared" ref="G667:H671" si="101">G668</f>
        <v>10000</v>
      </c>
      <c r="H667" s="59">
        <f t="shared" si="101"/>
        <v>10000</v>
      </c>
      <c r="I667" s="492">
        <f t="shared" si="99"/>
        <v>100</v>
      </c>
    </row>
    <row r="668" spans="1:9" s="191" customFormat="1" ht="18.75" customHeight="1" x14ac:dyDescent="0.25">
      <c r="A668" s="68" t="s">
        <v>298</v>
      </c>
      <c r="B668" s="392" t="s">
        <v>1309</v>
      </c>
      <c r="C668" s="392" t="s">
        <v>299</v>
      </c>
      <c r="D668" s="392"/>
      <c r="E668" s="399"/>
      <c r="F668" s="2"/>
      <c r="G668" s="10">
        <f t="shared" si="101"/>
        <v>10000</v>
      </c>
      <c r="H668" s="10">
        <f t="shared" si="101"/>
        <v>10000</v>
      </c>
      <c r="I668" s="389">
        <f t="shared" si="99"/>
        <v>100</v>
      </c>
    </row>
    <row r="669" spans="1:9" s="191" customFormat="1" ht="14.25" customHeight="1" x14ac:dyDescent="0.25">
      <c r="A669" s="68" t="s">
        <v>300</v>
      </c>
      <c r="B669" s="392" t="s">
        <v>1309</v>
      </c>
      <c r="C669" s="392" t="s">
        <v>299</v>
      </c>
      <c r="D669" s="392" t="s">
        <v>118</v>
      </c>
      <c r="E669" s="399"/>
      <c r="F669" s="2"/>
      <c r="G669" s="10">
        <f t="shared" si="101"/>
        <v>10000</v>
      </c>
      <c r="H669" s="10">
        <f t="shared" si="101"/>
        <v>10000</v>
      </c>
      <c r="I669" s="389">
        <f t="shared" si="99"/>
        <v>100</v>
      </c>
    </row>
    <row r="670" spans="1:9" s="191" customFormat="1" ht="37.9" customHeight="1" x14ac:dyDescent="0.25">
      <c r="A670" s="463" t="s">
        <v>1652</v>
      </c>
      <c r="B670" s="392" t="s">
        <v>1651</v>
      </c>
      <c r="C670" s="392" t="s">
        <v>299</v>
      </c>
      <c r="D670" s="392" t="s">
        <v>118</v>
      </c>
      <c r="E670" s="399"/>
      <c r="F670" s="2"/>
      <c r="G670" s="10">
        <f t="shared" si="101"/>
        <v>10000</v>
      </c>
      <c r="H670" s="10">
        <f t="shared" si="101"/>
        <v>10000</v>
      </c>
      <c r="I670" s="389">
        <f t="shared" si="99"/>
        <v>100</v>
      </c>
    </row>
    <row r="671" spans="1:9" s="191" customFormat="1" ht="36.75" customHeight="1" x14ac:dyDescent="0.25">
      <c r="A671" s="396" t="s">
        <v>131</v>
      </c>
      <c r="B671" s="392" t="s">
        <v>1651</v>
      </c>
      <c r="C671" s="392" t="s">
        <v>299</v>
      </c>
      <c r="D671" s="392" t="s">
        <v>118</v>
      </c>
      <c r="E671" s="399" t="s">
        <v>132</v>
      </c>
      <c r="F671" s="2"/>
      <c r="G671" s="10">
        <f t="shared" si="101"/>
        <v>10000</v>
      </c>
      <c r="H671" s="10">
        <f t="shared" si="101"/>
        <v>10000</v>
      </c>
      <c r="I671" s="389">
        <f t="shared" si="99"/>
        <v>100</v>
      </c>
    </row>
    <row r="672" spans="1:9" s="191" customFormat="1" ht="33.75" customHeight="1" x14ac:dyDescent="0.25">
      <c r="A672" s="396" t="s">
        <v>133</v>
      </c>
      <c r="B672" s="392" t="s">
        <v>1651</v>
      </c>
      <c r="C672" s="392" t="s">
        <v>299</v>
      </c>
      <c r="D672" s="392" t="s">
        <v>118</v>
      </c>
      <c r="E672" s="399" t="s">
        <v>134</v>
      </c>
      <c r="F672" s="2"/>
      <c r="G672" s="10">
        <f>'Пр.4 ведом.21'!G446</f>
        <v>10000</v>
      </c>
      <c r="H672" s="10">
        <f>'Пр.4 ведом.21'!H446</f>
        <v>10000</v>
      </c>
      <c r="I672" s="389">
        <f t="shared" si="99"/>
        <v>100</v>
      </c>
    </row>
    <row r="673" spans="1:9" s="191" customFormat="1" ht="43.5" customHeight="1" x14ac:dyDescent="0.25">
      <c r="A673" s="45" t="s">
        <v>261</v>
      </c>
      <c r="B673" s="392" t="s">
        <v>1651</v>
      </c>
      <c r="C673" s="392" t="s">
        <v>299</v>
      </c>
      <c r="D673" s="392" t="s">
        <v>118</v>
      </c>
      <c r="E673" s="399" t="s">
        <v>134</v>
      </c>
      <c r="F673" s="2">
        <v>903</v>
      </c>
      <c r="G673" s="10">
        <f>G672</f>
        <v>10000</v>
      </c>
      <c r="H673" s="10">
        <f>H672</f>
        <v>10000</v>
      </c>
      <c r="I673" s="389">
        <f t="shared" si="99"/>
        <v>100</v>
      </c>
    </row>
    <row r="674" spans="1:9" s="1" customFormat="1" ht="51" customHeight="1" x14ac:dyDescent="0.25">
      <c r="A674" s="400" t="s">
        <v>1356</v>
      </c>
      <c r="B674" s="7" t="s">
        <v>324</v>
      </c>
      <c r="C674" s="72"/>
      <c r="D674" s="72"/>
      <c r="E674" s="72"/>
      <c r="F674" s="72"/>
      <c r="G674" s="59">
        <f>G675</f>
        <v>108.5</v>
      </c>
      <c r="H674" s="59">
        <f>H675</f>
        <v>108.23</v>
      </c>
      <c r="I674" s="492">
        <f t="shared" si="99"/>
        <v>99.751152073732712</v>
      </c>
    </row>
    <row r="675" spans="1:9" s="192" customFormat="1" ht="64.5" customHeight="1" x14ac:dyDescent="0.25">
      <c r="A675" s="34" t="s">
        <v>1024</v>
      </c>
      <c r="B675" s="7" t="s">
        <v>933</v>
      </c>
      <c r="C675" s="7"/>
      <c r="D675" s="7"/>
      <c r="E675" s="72"/>
      <c r="F675" s="72"/>
      <c r="G675" s="59">
        <f>G676+G682+G693+G699</f>
        <v>108.5</v>
      </c>
      <c r="H675" s="59">
        <f>H676+H682+H693+H699</f>
        <v>108.23</v>
      </c>
      <c r="I675" s="492">
        <f t="shared" si="99"/>
        <v>99.751152073732712</v>
      </c>
    </row>
    <row r="676" spans="1:9" s="192" customFormat="1" ht="18.75" hidden="1" customHeight="1" x14ac:dyDescent="0.25">
      <c r="A676" s="31" t="s">
        <v>390</v>
      </c>
      <c r="B676" s="399" t="s">
        <v>933</v>
      </c>
      <c r="C676" s="399" t="s">
        <v>234</v>
      </c>
      <c r="D676" s="399"/>
      <c r="E676" s="72"/>
      <c r="F676" s="72"/>
      <c r="G676" s="10">
        <f t="shared" ref="G676:H680" si="102">G677</f>
        <v>0</v>
      </c>
      <c r="H676" s="10">
        <f t="shared" si="102"/>
        <v>0</v>
      </c>
      <c r="I676" s="389" t="e">
        <f t="shared" si="99"/>
        <v>#DIV/0!</v>
      </c>
    </row>
    <row r="677" spans="1:9" s="192" customFormat="1" ht="37.5" hidden="1" customHeight="1" x14ac:dyDescent="0.25">
      <c r="A677" s="31" t="s">
        <v>569</v>
      </c>
      <c r="B677" s="399" t="s">
        <v>933</v>
      </c>
      <c r="C677" s="399" t="s">
        <v>234</v>
      </c>
      <c r="D677" s="399" t="s">
        <v>234</v>
      </c>
      <c r="E677" s="72"/>
      <c r="F677" s="72"/>
      <c r="G677" s="10">
        <f t="shared" si="102"/>
        <v>0</v>
      </c>
      <c r="H677" s="10">
        <f t="shared" si="102"/>
        <v>0</v>
      </c>
      <c r="I677" s="389" t="e">
        <f t="shared" si="99"/>
        <v>#DIV/0!</v>
      </c>
    </row>
    <row r="678" spans="1:9" s="192" customFormat="1" ht="51.75" hidden="1" customHeight="1" x14ac:dyDescent="0.25">
      <c r="A678" s="31" t="s">
        <v>1081</v>
      </c>
      <c r="B678" s="392" t="s">
        <v>1025</v>
      </c>
      <c r="C678" s="399" t="s">
        <v>234</v>
      </c>
      <c r="D678" s="399" t="s">
        <v>234</v>
      </c>
      <c r="E678" s="72"/>
      <c r="F678" s="72"/>
      <c r="G678" s="10">
        <f t="shared" si="102"/>
        <v>0</v>
      </c>
      <c r="H678" s="10">
        <f t="shared" si="102"/>
        <v>0</v>
      </c>
      <c r="I678" s="389" t="e">
        <f t="shared" si="99"/>
        <v>#DIV/0!</v>
      </c>
    </row>
    <row r="679" spans="1:9" s="192" customFormat="1" ht="35.450000000000003" hidden="1" customHeight="1" x14ac:dyDescent="0.25">
      <c r="A679" s="396" t="s">
        <v>131</v>
      </c>
      <c r="B679" s="392" t="s">
        <v>1025</v>
      </c>
      <c r="C679" s="399" t="s">
        <v>234</v>
      </c>
      <c r="D679" s="399" t="s">
        <v>234</v>
      </c>
      <c r="E679" s="2">
        <v>200</v>
      </c>
      <c r="F679" s="72"/>
      <c r="G679" s="10">
        <f t="shared" si="102"/>
        <v>0</v>
      </c>
      <c r="H679" s="10">
        <f t="shared" si="102"/>
        <v>0</v>
      </c>
      <c r="I679" s="389" t="e">
        <f t="shared" si="99"/>
        <v>#DIV/0!</v>
      </c>
    </row>
    <row r="680" spans="1:9" s="192" customFormat="1" ht="34.5" hidden="1" customHeight="1" x14ac:dyDescent="0.25">
      <c r="A680" s="396" t="s">
        <v>133</v>
      </c>
      <c r="B680" s="392" t="s">
        <v>1025</v>
      </c>
      <c r="C680" s="399" t="s">
        <v>234</v>
      </c>
      <c r="D680" s="399" t="s">
        <v>234</v>
      </c>
      <c r="E680" s="2">
        <v>240</v>
      </c>
      <c r="F680" s="72"/>
      <c r="G680" s="10">
        <f t="shared" si="102"/>
        <v>0</v>
      </c>
      <c r="H680" s="10">
        <f t="shared" si="102"/>
        <v>0</v>
      </c>
      <c r="I680" s="389" t="e">
        <f t="shared" si="99"/>
        <v>#DIV/0!</v>
      </c>
    </row>
    <row r="681" spans="1:9" s="192" customFormat="1" ht="37.35" hidden="1" customHeight="1" x14ac:dyDescent="0.25">
      <c r="A681" s="45" t="s">
        <v>623</v>
      </c>
      <c r="B681" s="392" t="s">
        <v>1025</v>
      </c>
      <c r="C681" s="399" t="s">
        <v>234</v>
      </c>
      <c r="D681" s="399" t="s">
        <v>234</v>
      </c>
      <c r="E681" s="2">
        <v>240</v>
      </c>
      <c r="F681" s="2">
        <v>908</v>
      </c>
      <c r="G681" s="10">
        <f>'Пр.4 ведом.21'!G1201</f>
        <v>0</v>
      </c>
      <c r="H681" s="10">
        <f>'Пр.4 ведом.21'!H1201</f>
        <v>0</v>
      </c>
      <c r="I681" s="389" t="e">
        <f t="shared" si="99"/>
        <v>#DIV/0!</v>
      </c>
    </row>
    <row r="682" spans="1:9" s="1" customFormat="1" ht="15.75" x14ac:dyDescent="0.25">
      <c r="A682" s="396" t="s">
        <v>263</v>
      </c>
      <c r="B682" s="399" t="s">
        <v>933</v>
      </c>
      <c r="C682" s="399" t="s">
        <v>264</v>
      </c>
      <c r="D682" s="73"/>
      <c r="E682" s="73"/>
      <c r="F682" s="73"/>
      <c r="G682" s="10">
        <f>G683+G688</f>
        <v>104.5</v>
      </c>
      <c r="H682" s="10">
        <f>H683+H688</f>
        <v>104.23</v>
      </c>
      <c r="I682" s="389">
        <f t="shared" si="99"/>
        <v>99.74162679425838</v>
      </c>
    </row>
    <row r="683" spans="1:9" s="1" customFormat="1" ht="15.75" x14ac:dyDescent="0.25">
      <c r="A683" s="396" t="s">
        <v>404</v>
      </c>
      <c r="B683" s="399" t="s">
        <v>933</v>
      </c>
      <c r="C683" s="399" t="s">
        <v>264</v>
      </c>
      <c r="D683" s="399" t="s">
        <v>118</v>
      </c>
      <c r="E683" s="73"/>
      <c r="F683" s="73"/>
      <c r="G683" s="10">
        <f t="shared" ref="G683:H685" si="103">G684</f>
        <v>95</v>
      </c>
      <c r="H683" s="10">
        <f t="shared" si="103"/>
        <v>94.78</v>
      </c>
      <c r="I683" s="389">
        <f t="shared" si="99"/>
        <v>99.768421052631581</v>
      </c>
    </row>
    <row r="684" spans="1:9" s="1" customFormat="1" ht="47.25" x14ac:dyDescent="0.25">
      <c r="A684" s="31" t="s">
        <v>1082</v>
      </c>
      <c r="B684" s="392" t="s">
        <v>934</v>
      </c>
      <c r="C684" s="399" t="s">
        <v>264</v>
      </c>
      <c r="D684" s="399" t="s">
        <v>118</v>
      </c>
      <c r="E684" s="72"/>
      <c r="F684" s="72"/>
      <c r="G684" s="10">
        <f t="shared" si="103"/>
        <v>95</v>
      </c>
      <c r="H684" s="10">
        <f t="shared" si="103"/>
        <v>94.78</v>
      </c>
      <c r="I684" s="389">
        <f t="shared" si="99"/>
        <v>99.768421052631581</v>
      </c>
    </row>
    <row r="685" spans="1:9" s="1" customFormat="1" ht="31.5" x14ac:dyDescent="0.25">
      <c r="A685" s="31" t="s">
        <v>272</v>
      </c>
      <c r="B685" s="392" t="s">
        <v>934</v>
      </c>
      <c r="C685" s="399" t="s">
        <v>264</v>
      </c>
      <c r="D685" s="399" t="s">
        <v>118</v>
      </c>
      <c r="E685" s="399" t="s">
        <v>273</v>
      </c>
      <c r="F685" s="72"/>
      <c r="G685" s="10">
        <f t="shared" si="103"/>
        <v>95</v>
      </c>
      <c r="H685" s="10">
        <f t="shared" si="103"/>
        <v>94.78</v>
      </c>
      <c r="I685" s="389">
        <f t="shared" si="99"/>
        <v>99.768421052631581</v>
      </c>
    </row>
    <row r="686" spans="1:9" s="1" customFormat="1" ht="15.75" x14ac:dyDescent="0.25">
      <c r="A686" s="31" t="s">
        <v>274</v>
      </c>
      <c r="B686" s="392" t="s">
        <v>934</v>
      </c>
      <c r="C686" s="399" t="s">
        <v>264</v>
      </c>
      <c r="D686" s="399" t="s">
        <v>118</v>
      </c>
      <c r="E686" s="399" t="s">
        <v>275</v>
      </c>
      <c r="F686" s="72"/>
      <c r="G686" s="10">
        <f>'Пр.4 ведом.21'!G692</f>
        <v>95</v>
      </c>
      <c r="H686" s="10">
        <f>'Пр.4 ведом.21'!H692</f>
        <v>94.78</v>
      </c>
      <c r="I686" s="389">
        <f t="shared" si="99"/>
        <v>99.768421052631581</v>
      </c>
    </row>
    <row r="687" spans="1:9" s="192" customFormat="1" ht="31.5" x14ac:dyDescent="0.25">
      <c r="A687" s="31" t="s">
        <v>403</v>
      </c>
      <c r="B687" s="392" t="s">
        <v>934</v>
      </c>
      <c r="C687" s="399" t="s">
        <v>264</v>
      </c>
      <c r="D687" s="399" t="s">
        <v>118</v>
      </c>
      <c r="E687" s="399" t="s">
        <v>275</v>
      </c>
      <c r="F687" s="2">
        <v>906</v>
      </c>
      <c r="G687" s="10">
        <f>G686</f>
        <v>95</v>
      </c>
      <c r="H687" s="10">
        <f>H686</f>
        <v>94.78</v>
      </c>
      <c r="I687" s="389">
        <f t="shared" si="99"/>
        <v>99.768421052631581</v>
      </c>
    </row>
    <row r="688" spans="1:9" s="1" customFormat="1" ht="15.75" x14ac:dyDescent="0.25">
      <c r="A688" s="29" t="s">
        <v>265</v>
      </c>
      <c r="B688" s="399" t="s">
        <v>933</v>
      </c>
      <c r="C688" s="399" t="s">
        <v>264</v>
      </c>
      <c r="D688" s="399" t="s">
        <v>215</v>
      </c>
      <c r="E688" s="399"/>
      <c r="F688" s="73"/>
      <c r="G688" s="10">
        <f t="shared" ref="G688:H690" si="104">G689</f>
        <v>9.5</v>
      </c>
      <c r="H688" s="10">
        <f t="shared" si="104"/>
        <v>9.4499999999999993</v>
      </c>
      <c r="I688" s="389">
        <f t="shared" si="99"/>
        <v>99.473684210526301</v>
      </c>
    </row>
    <row r="689" spans="1:9" s="1" customFormat="1" ht="47.25" x14ac:dyDescent="0.25">
      <c r="A689" s="31" t="s">
        <v>1081</v>
      </c>
      <c r="B689" s="392" t="s">
        <v>1025</v>
      </c>
      <c r="C689" s="399" t="s">
        <v>264</v>
      </c>
      <c r="D689" s="399" t="s">
        <v>215</v>
      </c>
      <c r="E689" s="399"/>
      <c r="F689" s="72"/>
      <c r="G689" s="10">
        <f t="shared" si="104"/>
        <v>9.5</v>
      </c>
      <c r="H689" s="10">
        <f t="shared" si="104"/>
        <v>9.4499999999999993</v>
      </c>
      <c r="I689" s="389">
        <f t="shared" si="99"/>
        <v>99.473684210526301</v>
      </c>
    </row>
    <row r="690" spans="1:9" s="1" customFormat="1" ht="31.5" x14ac:dyDescent="0.25">
      <c r="A690" s="31" t="s">
        <v>272</v>
      </c>
      <c r="B690" s="392" t="s">
        <v>1025</v>
      </c>
      <c r="C690" s="399" t="s">
        <v>264</v>
      </c>
      <c r="D690" s="399" t="s">
        <v>215</v>
      </c>
      <c r="E690" s="399" t="s">
        <v>132</v>
      </c>
      <c r="F690" s="72"/>
      <c r="G690" s="10">
        <f t="shared" si="104"/>
        <v>9.5</v>
      </c>
      <c r="H690" s="10">
        <f t="shared" si="104"/>
        <v>9.4499999999999993</v>
      </c>
      <c r="I690" s="389">
        <f t="shared" si="99"/>
        <v>99.473684210526301</v>
      </c>
    </row>
    <row r="691" spans="1:9" s="1" customFormat="1" ht="15.75" x14ac:dyDescent="0.25">
      <c r="A691" s="31" t="s">
        <v>274</v>
      </c>
      <c r="B691" s="392" t="s">
        <v>1025</v>
      </c>
      <c r="C691" s="399" t="s">
        <v>264</v>
      </c>
      <c r="D691" s="399" t="s">
        <v>215</v>
      </c>
      <c r="E691" s="399" t="s">
        <v>134</v>
      </c>
      <c r="F691" s="72"/>
      <c r="G691" s="10">
        <f>'Пр.4 ведом.21'!G362</f>
        <v>9.5</v>
      </c>
      <c r="H691" s="10">
        <f>'Пр.4 ведом.21'!H362</f>
        <v>9.4499999999999993</v>
      </c>
      <c r="I691" s="389">
        <f t="shared" si="99"/>
        <v>99.473684210526301</v>
      </c>
    </row>
    <row r="692" spans="1:9" s="1" customFormat="1" ht="47.25" x14ac:dyDescent="0.25">
      <c r="A692" s="45" t="s">
        <v>261</v>
      </c>
      <c r="B692" s="392" t="s">
        <v>1025</v>
      </c>
      <c r="C692" s="399" t="s">
        <v>264</v>
      </c>
      <c r="D692" s="399" t="s">
        <v>215</v>
      </c>
      <c r="E692" s="399" t="s">
        <v>134</v>
      </c>
      <c r="F692" s="2">
        <v>903</v>
      </c>
      <c r="G692" s="10">
        <f>G691</f>
        <v>9.5</v>
      </c>
      <c r="H692" s="10">
        <f>H691</f>
        <v>9.4499999999999993</v>
      </c>
      <c r="I692" s="389">
        <f t="shared" si="99"/>
        <v>99.473684210526301</v>
      </c>
    </row>
    <row r="693" spans="1:9" s="192" customFormat="1" ht="15.75" x14ac:dyDescent="0.25">
      <c r="A693" s="31" t="s">
        <v>298</v>
      </c>
      <c r="B693" s="392" t="s">
        <v>933</v>
      </c>
      <c r="C693" s="399" t="s">
        <v>299</v>
      </c>
      <c r="D693" s="399"/>
      <c r="E693" s="399"/>
      <c r="F693" s="2"/>
      <c r="G693" s="10">
        <f t="shared" ref="G693:H696" si="105">G694</f>
        <v>4</v>
      </c>
      <c r="H693" s="10">
        <f t="shared" si="105"/>
        <v>4</v>
      </c>
      <c r="I693" s="389">
        <f t="shared" si="99"/>
        <v>100</v>
      </c>
    </row>
    <row r="694" spans="1:9" s="192" customFormat="1" ht="15.75" x14ac:dyDescent="0.25">
      <c r="A694" s="31" t="s">
        <v>300</v>
      </c>
      <c r="B694" s="392" t="s">
        <v>933</v>
      </c>
      <c r="C694" s="399" t="s">
        <v>299</v>
      </c>
      <c r="D694" s="399" t="s">
        <v>150</v>
      </c>
      <c r="E694" s="399"/>
      <c r="F694" s="2"/>
      <c r="G694" s="10">
        <f t="shared" si="105"/>
        <v>4</v>
      </c>
      <c r="H694" s="10">
        <f t="shared" si="105"/>
        <v>4</v>
      </c>
      <c r="I694" s="389">
        <f t="shared" si="99"/>
        <v>100</v>
      </c>
    </row>
    <row r="695" spans="1:9" s="192" customFormat="1" ht="47.25" x14ac:dyDescent="0.25">
      <c r="A695" s="31" t="s">
        <v>1081</v>
      </c>
      <c r="B695" s="392" t="s">
        <v>1025</v>
      </c>
      <c r="C695" s="399" t="s">
        <v>299</v>
      </c>
      <c r="D695" s="399" t="s">
        <v>150</v>
      </c>
      <c r="E695" s="399"/>
      <c r="F695" s="2"/>
      <c r="G695" s="10">
        <f t="shared" si="105"/>
        <v>4</v>
      </c>
      <c r="H695" s="10">
        <f t="shared" si="105"/>
        <v>4</v>
      </c>
      <c r="I695" s="389">
        <f t="shared" si="99"/>
        <v>100</v>
      </c>
    </row>
    <row r="696" spans="1:9" s="192" customFormat="1" ht="31.5" x14ac:dyDescent="0.25">
      <c r="A696" s="396" t="s">
        <v>131</v>
      </c>
      <c r="B696" s="392" t="s">
        <v>1025</v>
      </c>
      <c r="C696" s="399" t="s">
        <v>299</v>
      </c>
      <c r="D696" s="399" t="s">
        <v>150</v>
      </c>
      <c r="E696" s="399" t="s">
        <v>132</v>
      </c>
      <c r="F696" s="2"/>
      <c r="G696" s="10">
        <f t="shared" si="105"/>
        <v>4</v>
      </c>
      <c r="H696" s="10">
        <f t="shared" si="105"/>
        <v>4</v>
      </c>
      <c r="I696" s="389">
        <f t="shared" si="99"/>
        <v>100</v>
      </c>
    </row>
    <row r="697" spans="1:9" s="192" customFormat="1" ht="31.5" x14ac:dyDescent="0.25">
      <c r="A697" s="396" t="s">
        <v>133</v>
      </c>
      <c r="B697" s="392" t="s">
        <v>1025</v>
      </c>
      <c r="C697" s="399" t="s">
        <v>299</v>
      </c>
      <c r="D697" s="399" t="s">
        <v>150</v>
      </c>
      <c r="E697" s="399" t="s">
        <v>134</v>
      </c>
      <c r="F697" s="2"/>
      <c r="G697" s="10">
        <f>'Пр.4 ведом.21'!G502</f>
        <v>4</v>
      </c>
      <c r="H697" s="10">
        <f>'Пр.4 ведом.21'!H502</f>
        <v>4</v>
      </c>
      <c r="I697" s="389">
        <f t="shared" si="99"/>
        <v>100</v>
      </c>
    </row>
    <row r="698" spans="1:9" s="192" customFormat="1" ht="47.25" x14ac:dyDescent="0.25">
      <c r="A698" s="45" t="s">
        <v>261</v>
      </c>
      <c r="B698" s="392" t="s">
        <v>1025</v>
      </c>
      <c r="C698" s="399" t="s">
        <v>299</v>
      </c>
      <c r="D698" s="399" t="s">
        <v>150</v>
      </c>
      <c r="E698" s="399" t="s">
        <v>134</v>
      </c>
      <c r="F698" s="2">
        <v>903</v>
      </c>
      <c r="G698" s="345">
        <f>G695</f>
        <v>4</v>
      </c>
      <c r="H698" s="345">
        <f>H695</f>
        <v>4</v>
      </c>
      <c r="I698" s="389">
        <f t="shared" si="99"/>
        <v>100</v>
      </c>
    </row>
    <row r="699" spans="1:9" s="1" customFormat="1" ht="15.75" hidden="1" customHeight="1" x14ac:dyDescent="0.25">
      <c r="A699" s="73" t="s">
        <v>490</v>
      </c>
      <c r="B699" s="399" t="s">
        <v>933</v>
      </c>
      <c r="C699" s="399" t="s">
        <v>491</v>
      </c>
      <c r="D699" s="73"/>
      <c r="E699" s="73"/>
      <c r="F699" s="73"/>
      <c r="G699" s="10">
        <f t="shared" ref="G699:H699" si="106">G700</f>
        <v>0</v>
      </c>
      <c r="H699" s="10">
        <f t="shared" si="106"/>
        <v>0</v>
      </c>
      <c r="I699" s="389" t="e">
        <f t="shared" si="99"/>
        <v>#DIV/0!</v>
      </c>
    </row>
    <row r="700" spans="1:9" s="1" customFormat="1" ht="15.75" hidden="1" customHeight="1" x14ac:dyDescent="0.25">
      <c r="A700" s="73" t="s">
        <v>492</v>
      </c>
      <c r="B700" s="399" t="s">
        <v>933</v>
      </c>
      <c r="C700" s="399" t="s">
        <v>491</v>
      </c>
      <c r="D700" s="399" t="s">
        <v>118</v>
      </c>
      <c r="E700" s="73"/>
      <c r="F700" s="73"/>
      <c r="G700" s="10">
        <f t="shared" ref="G700:H700" si="107">G701</f>
        <v>0</v>
      </c>
      <c r="H700" s="10">
        <f t="shared" si="107"/>
        <v>0</v>
      </c>
      <c r="I700" s="389" t="e">
        <f t="shared" si="99"/>
        <v>#DIV/0!</v>
      </c>
    </row>
    <row r="701" spans="1:9" s="1" customFormat="1" ht="47.25" hidden="1" customHeight="1" x14ac:dyDescent="0.25">
      <c r="A701" s="31" t="s">
        <v>1082</v>
      </c>
      <c r="B701" s="399" t="s">
        <v>934</v>
      </c>
      <c r="C701" s="399" t="s">
        <v>491</v>
      </c>
      <c r="D701" s="399" t="s">
        <v>118</v>
      </c>
      <c r="E701" s="73"/>
      <c r="F701" s="73"/>
      <c r="G701" s="10">
        <f>G702</f>
        <v>0</v>
      </c>
      <c r="H701" s="10">
        <f>H702</f>
        <v>0</v>
      </c>
      <c r="I701" s="389" t="e">
        <f t="shared" si="99"/>
        <v>#DIV/0!</v>
      </c>
    </row>
    <row r="702" spans="1:9" s="1" customFormat="1" ht="31.7" hidden="1" customHeight="1" x14ac:dyDescent="0.25">
      <c r="A702" s="396" t="s">
        <v>272</v>
      </c>
      <c r="B702" s="399" t="s">
        <v>934</v>
      </c>
      <c r="C702" s="399" t="s">
        <v>491</v>
      </c>
      <c r="D702" s="399" t="s">
        <v>118</v>
      </c>
      <c r="E702" s="399" t="s">
        <v>273</v>
      </c>
      <c r="F702" s="73"/>
      <c r="G702" s="10">
        <f>G703</f>
        <v>0</v>
      </c>
      <c r="H702" s="10">
        <f>H703</f>
        <v>0</v>
      </c>
      <c r="I702" s="389" t="e">
        <f t="shared" si="99"/>
        <v>#DIV/0!</v>
      </c>
    </row>
    <row r="703" spans="1:9" s="1" customFormat="1" ht="15.75" hidden="1" customHeight="1" x14ac:dyDescent="0.25">
      <c r="A703" s="396" t="s">
        <v>274</v>
      </c>
      <c r="B703" s="399" t="s">
        <v>934</v>
      </c>
      <c r="C703" s="399" t="s">
        <v>491</v>
      </c>
      <c r="D703" s="399" t="s">
        <v>118</v>
      </c>
      <c r="E703" s="399" t="s">
        <v>275</v>
      </c>
      <c r="F703" s="73"/>
      <c r="G703" s="10"/>
      <c r="H703" s="10"/>
      <c r="I703" s="389" t="e">
        <f t="shared" si="99"/>
        <v>#DIV/0!</v>
      </c>
    </row>
    <row r="704" spans="1:9" s="1" customFormat="1" ht="31.7" hidden="1" customHeight="1" x14ac:dyDescent="0.25">
      <c r="A704" s="45" t="s">
        <v>480</v>
      </c>
      <c r="B704" s="399" t="s">
        <v>934</v>
      </c>
      <c r="C704" s="399" t="s">
        <v>491</v>
      </c>
      <c r="D704" s="399" t="s">
        <v>118</v>
      </c>
      <c r="E704" s="399" t="s">
        <v>275</v>
      </c>
      <c r="F704" s="2">
        <v>907</v>
      </c>
      <c r="G704" s="10">
        <f>G703</f>
        <v>0</v>
      </c>
      <c r="H704" s="10">
        <f>H703</f>
        <v>0</v>
      </c>
      <c r="I704" s="389" t="e">
        <f t="shared" si="99"/>
        <v>#DIV/0!</v>
      </c>
    </row>
    <row r="705" spans="1:9" ht="37.5" customHeight="1" x14ac:dyDescent="0.25">
      <c r="A705" s="400" t="s">
        <v>1361</v>
      </c>
      <c r="B705" s="7" t="s">
        <v>543</v>
      </c>
      <c r="C705" s="2"/>
      <c r="D705" s="2"/>
      <c r="E705" s="2"/>
      <c r="F705" s="2"/>
      <c r="G705" s="59">
        <f>G706+G713+G753+G764+G771</f>
        <v>10811.800999999999</v>
      </c>
      <c r="H705" s="59">
        <f>H706+H713+H753+H764+H771</f>
        <v>10260.266</v>
      </c>
      <c r="I705" s="492">
        <f t="shared" si="99"/>
        <v>94.898768484547574</v>
      </c>
    </row>
    <row r="706" spans="1:9" s="191" customFormat="1" ht="47.25" hidden="1" x14ac:dyDescent="0.25">
      <c r="A706" s="394" t="s">
        <v>1428</v>
      </c>
      <c r="B706" s="7" t="s">
        <v>1271</v>
      </c>
      <c r="C706" s="7"/>
      <c r="D706" s="7"/>
      <c r="E706" s="3"/>
      <c r="F706" s="3"/>
      <c r="G706" s="59">
        <f t="shared" ref="G706:H710" si="108">G707</f>
        <v>0</v>
      </c>
      <c r="H706" s="59">
        <f t="shared" si="108"/>
        <v>0</v>
      </c>
      <c r="I706" s="492" t="e">
        <f t="shared" si="99"/>
        <v>#DIV/0!</v>
      </c>
    </row>
    <row r="707" spans="1:9" ht="15.75" hidden="1" x14ac:dyDescent="0.25">
      <c r="A707" s="73" t="s">
        <v>390</v>
      </c>
      <c r="B707" s="399" t="s">
        <v>1271</v>
      </c>
      <c r="C707" s="399" t="s">
        <v>234</v>
      </c>
      <c r="D707" s="399"/>
      <c r="E707" s="2"/>
      <c r="F707" s="2"/>
      <c r="G707" s="10">
        <f t="shared" si="108"/>
        <v>0</v>
      </c>
      <c r="H707" s="10">
        <f t="shared" si="108"/>
        <v>0</v>
      </c>
      <c r="I707" s="492" t="e">
        <f t="shared" si="99"/>
        <v>#DIV/0!</v>
      </c>
    </row>
    <row r="708" spans="1:9" ht="15.75" hidden="1" x14ac:dyDescent="0.25">
      <c r="A708" s="73" t="s">
        <v>541</v>
      </c>
      <c r="B708" s="399" t="s">
        <v>1271</v>
      </c>
      <c r="C708" s="399" t="s">
        <v>234</v>
      </c>
      <c r="D708" s="399" t="s">
        <v>215</v>
      </c>
      <c r="E708" s="2"/>
      <c r="F708" s="2"/>
      <c r="G708" s="10">
        <f t="shared" si="108"/>
        <v>0</v>
      </c>
      <c r="H708" s="10">
        <f t="shared" si="108"/>
        <v>0</v>
      </c>
      <c r="I708" s="492" t="e">
        <f t="shared" si="99"/>
        <v>#DIV/0!</v>
      </c>
    </row>
    <row r="709" spans="1:9" s="191" customFormat="1" ht="31.5" hidden="1" x14ac:dyDescent="0.25">
      <c r="A709" s="289" t="s">
        <v>1429</v>
      </c>
      <c r="B709" s="392" t="s">
        <v>1418</v>
      </c>
      <c r="C709" s="399" t="s">
        <v>234</v>
      </c>
      <c r="D709" s="399" t="s">
        <v>215</v>
      </c>
      <c r="E709" s="2"/>
      <c r="F709" s="2"/>
      <c r="G709" s="10">
        <f t="shared" si="108"/>
        <v>0</v>
      </c>
      <c r="H709" s="10">
        <f t="shared" si="108"/>
        <v>0</v>
      </c>
      <c r="I709" s="492" t="e">
        <f t="shared" si="99"/>
        <v>#DIV/0!</v>
      </c>
    </row>
    <row r="710" spans="1:9" s="191" customFormat="1" ht="31.5" hidden="1" x14ac:dyDescent="0.25">
      <c r="A710" s="396" t="s">
        <v>131</v>
      </c>
      <c r="B710" s="392" t="s">
        <v>1418</v>
      </c>
      <c r="C710" s="399" t="s">
        <v>234</v>
      </c>
      <c r="D710" s="399" t="s">
        <v>215</v>
      </c>
      <c r="E710" s="2">
        <v>200</v>
      </c>
      <c r="F710" s="2"/>
      <c r="G710" s="10">
        <f t="shared" si="108"/>
        <v>0</v>
      </c>
      <c r="H710" s="10">
        <f t="shared" si="108"/>
        <v>0</v>
      </c>
      <c r="I710" s="492" t="e">
        <f t="shared" si="99"/>
        <v>#DIV/0!</v>
      </c>
    </row>
    <row r="711" spans="1:9" s="191" customFormat="1" ht="31.5" hidden="1" x14ac:dyDescent="0.25">
      <c r="A711" s="396" t="s">
        <v>133</v>
      </c>
      <c r="B711" s="392" t="s">
        <v>1418</v>
      </c>
      <c r="C711" s="399" t="s">
        <v>234</v>
      </c>
      <c r="D711" s="399" t="s">
        <v>215</v>
      </c>
      <c r="E711" s="2">
        <v>240</v>
      </c>
      <c r="F711" s="2"/>
      <c r="G711" s="10">
        <f>'Пр.4 ведом.21'!G1104</f>
        <v>0</v>
      </c>
      <c r="H711" s="10">
        <f>'Пр.4 ведом.21'!H1104</f>
        <v>0</v>
      </c>
      <c r="I711" s="492" t="e">
        <f t="shared" si="99"/>
        <v>#DIV/0!</v>
      </c>
    </row>
    <row r="712" spans="1:9" s="191" customFormat="1" ht="31.5" hidden="1" x14ac:dyDescent="0.25">
      <c r="A712" s="45" t="s">
        <v>623</v>
      </c>
      <c r="B712" s="392" t="s">
        <v>1418</v>
      </c>
      <c r="C712" s="399" t="s">
        <v>234</v>
      </c>
      <c r="D712" s="399" t="s">
        <v>215</v>
      </c>
      <c r="E712" s="2">
        <v>240</v>
      </c>
      <c r="F712" s="2">
        <v>908</v>
      </c>
      <c r="G712" s="10">
        <f>G709</f>
        <v>0</v>
      </c>
      <c r="H712" s="10">
        <f>H709</f>
        <v>0</v>
      </c>
      <c r="I712" s="492" t="e">
        <f t="shared" si="99"/>
        <v>#DIV/0!</v>
      </c>
    </row>
    <row r="713" spans="1:9" s="191" customFormat="1" ht="31.5" x14ac:dyDescent="0.25">
      <c r="A713" s="394" t="s">
        <v>1431</v>
      </c>
      <c r="B713" s="7" t="s">
        <v>1272</v>
      </c>
      <c r="C713" s="399"/>
      <c r="D713" s="399"/>
      <c r="E713" s="2"/>
      <c r="F713" s="2"/>
      <c r="G713" s="59">
        <f>G714</f>
        <v>2794.2000000000003</v>
      </c>
      <c r="H713" s="59">
        <f>H714</f>
        <v>2243.5720000000001</v>
      </c>
      <c r="I713" s="492">
        <f t="shared" si="99"/>
        <v>80.293894495741171</v>
      </c>
    </row>
    <row r="714" spans="1:9" s="191" customFormat="1" ht="15.75" x14ac:dyDescent="0.25">
      <c r="A714" s="73" t="s">
        <v>390</v>
      </c>
      <c r="B714" s="399" t="s">
        <v>1272</v>
      </c>
      <c r="C714" s="399"/>
      <c r="D714" s="399"/>
      <c r="E714" s="2"/>
      <c r="F714" s="2"/>
      <c r="G714" s="10">
        <f>G715</f>
        <v>2794.2000000000003</v>
      </c>
      <c r="H714" s="10">
        <f>H715</f>
        <v>2243.5720000000001</v>
      </c>
      <c r="I714" s="389">
        <f t="shared" si="99"/>
        <v>80.293894495741171</v>
      </c>
    </row>
    <row r="715" spans="1:9" s="191" customFormat="1" ht="15.75" x14ac:dyDescent="0.25">
      <c r="A715" s="73" t="s">
        <v>541</v>
      </c>
      <c r="B715" s="399" t="s">
        <v>1272</v>
      </c>
      <c r="C715" s="399"/>
      <c r="D715" s="399"/>
      <c r="E715" s="2"/>
      <c r="F715" s="2"/>
      <c r="G715" s="10">
        <f>G716+G720+G730+G734+G738+G745+G749</f>
        <v>2794.2000000000003</v>
      </c>
      <c r="H715" s="10">
        <f>H716+H720+H730+H734+H738+H745+H749</f>
        <v>2243.5720000000001</v>
      </c>
      <c r="I715" s="389">
        <f t="shared" si="99"/>
        <v>80.293894495741171</v>
      </c>
    </row>
    <row r="716" spans="1:9" ht="15.75" customHeight="1" x14ac:dyDescent="0.25">
      <c r="A716" s="396" t="s">
        <v>546</v>
      </c>
      <c r="B716" s="392" t="s">
        <v>1427</v>
      </c>
      <c r="C716" s="399" t="s">
        <v>234</v>
      </c>
      <c r="D716" s="399" t="s">
        <v>215</v>
      </c>
      <c r="E716" s="2"/>
      <c r="F716" s="2"/>
      <c r="G716" s="10">
        <f t="shared" ref="G716:H717" si="109">G717</f>
        <v>548.29999999999995</v>
      </c>
      <c r="H716" s="10">
        <f t="shared" si="109"/>
        <v>548.15200000000004</v>
      </c>
      <c r="I716" s="389">
        <f t="shared" si="99"/>
        <v>99.973007477658243</v>
      </c>
    </row>
    <row r="717" spans="1:9" ht="41.25" customHeight="1" x14ac:dyDescent="0.25">
      <c r="A717" s="396" t="s">
        <v>131</v>
      </c>
      <c r="B717" s="392" t="s">
        <v>1427</v>
      </c>
      <c r="C717" s="399" t="s">
        <v>234</v>
      </c>
      <c r="D717" s="399" t="s">
        <v>215</v>
      </c>
      <c r="E717" s="2">
        <v>200</v>
      </c>
      <c r="F717" s="2"/>
      <c r="G717" s="10">
        <f t="shared" si="109"/>
        <v>548.29999999999995</v>
      </c>
      <c r="H717" s="10">
        <f t="shared" si="109"/>
        <v>548.15200000000004</v>
      </c>
      <c r="I717" s="389">
        <f t="shared" si="99"/>
        <v>99.973007477658243</v>
      </c>
    </row>
    <row r="718" spans="1:9" ht="31.7" customHeight="1" x14ac:dyDescent="0.25">
      <c r="A718" s="396" t="s">
        <v>133</v>
      </c>
      <c r="B718" s="392" t="s">
        <v>1427</v>
      </c>
      <c r="C718" s="399" t="s">
        <v>234</v>
      </c>
      <c r="D718" s="399" t="s">
        <v>215</v>
      </c>
      <c r="E718" s="2">
        <v>240</v>
      </c>
      <c r="F718" s="2"/>
      <c r="G718" s="10">
        <f>'Пр.4 ведом.21'!G1108</f>
        <v>548.29999999999995</v>
      </c>
      <c r="H718" s="10">
        <f>'Пр.4 ведом.21'!H1108</f>
        <v>548.15200000000004</v>
      </c>
      <c r="I718" s="389">
        <f t="shared" si="99"/>
        <v>99.973007477658243</v>
      </c>
    </row>
    <row r="719" spans="1:9" s="191" customFormat="1" ht="31.7" customHeight="1" x14ac:dyDescent="0.25">
      <c r="A719" s="45" t="s">
        <v>623</v>
      </c>
      <c r="B719" s="392" t="s">
        <v>1427</v>
      </c>
      <c r="C719" s="399" t="s">
        <v>234</v>
      </c>
      <c r="D719" s="399" t="s">
        <v>215</v>
      </c>
      <c r="E719" s="2">
        <v>240</v>
      </c>
      <c r="F719" s="2">
        <v>908</v>
      </c>
      <c r="G719" s="10">
        <f>G718</f>
        <v>548.29999999999995</v>
      </c>
      <c r="H719" s="10">
        <f>H718</f>
        <v>548.15200000000004</v>
      </c>
      <c r="I719" s="389">
        <f t="shared" si="99"/>
        <v>99.973007477658243</v>
      </c>
    </row>
    <row r="720" spans="1:9" ht="17.45" customHeight="1" x14ac:dyDescent="0.25">
      <c r="A720" s="396" t="s">
        <v>548</v>
      </c>
      <c r="B720" s="392" t="s">
        <v>1417</v>
      </c>
      <c r="C720" s="399" t="s">
        <v>234</v>
      </c>
      <c r="D720" s="399" t="s">
        <v>215</v>
      </c>
      <c r="E720" s="2"/>
      <c r="F720" s="2"/>
      <c r="G720" s="10">
        <f>G721+G724+G727</f>
        <v>1922.8000000000002</v>
      </c>
      <c r="H720" s="10">
        <f>H721+H724+H727</f>
        <v>1372.5150000000001</v>
      </c>
      <c r="I720" s="389">
        <f t="shared" si="99"/>
        <v>71.381058872477638</v>
      </c>
    </row>
    <row r="721" spans="1:9" ht="31.5" x14ac:dyDescent="0.25">
      <c r="A721" s="396" t="s">
        <v>131</v>
      </c>
      <c r="B721" s="392" t="s">
        <v>1417</v>
      </c>
      <c r="C721" s="399" t="s">
        <v>234</v>
      </c>
      <c r="D721" s="399" t="s">
        <v>215</v>
      </c>
      <c r="E721" s="2">
        <v>200</v>
      </c>
      <c r="F721" s="2"/>
      <c r="G721" s="10">
        <f t="shared" ref="G721:H721" si="110">G722</f>
        <v>1922.8000000000002</v>
      </c>
      <c r="H721" s="10">
        <f t="shared" si="110"/>
        <v>1372.5150000000001</v>
      </c>
      <c r="I721" s="389">
        <f t="shared" ref="I721:I784" si="111">H721/G721*100</f>
        <v>71.381058872477638</v>
      </c>
    </row>
    <row r="722" spans="1:9" ht="31.5" x14ac:dyDescent="0.25">
      <c r="A722" s="396" t="s">
        <v>133</v>
      </c>
      <c r="B722" s="392" t="s">
        <v>1417</v>
      </c>
      <c r="C722" s="399" t="s">
        <v>234</v>
      </c>
      <c r="D722" s="399" t="s">
        <v>215</v>
      </c>
      <c r="E722" s="2">
        <v>240</v>
      </c>
      <c r="F722" s="2"/>
      <c r="G722" s="10">
        <f>'Пр.4 ведом.21'!G1111</f>
        <v>1922.8000000000002</v>
      </c>
      <c r="H722" s="10">
        <f>'Пр.4 ведом.21'!H1111</f>
        <v>1372.5150000000001</v>
      </c>
      <c r="I722" s="389">
        <f t="shared" si="111"/>
        <v>71.381058872477638</v>
      </c>
    </row>
    <row r="723" spans="1:9" s="191" customFormat="1" ht="37.5" customHeight="1" x14ac:dyDescent="0.25">
      <c r="A723" s="45" t="s">
        <v>623</v>
      </c>
      <c r="B723" s="392" t="s">
        <v>1417</v>
      </c>
      <c r="C723" s="399" t="s">
        <v>234</v>
      </c>
      <c r="D723" s="399" t="s">
        <v>215</v>
      </c>
      <c r="E723" s="2">
        <v>240</v>
      </c>
      <c r="F723" s="2">
        <v>908</v>
      </c>
      <c r="G723" s="10">
        <f>G722</f>
        <v>1922.8000000000002</v>
      </c>
      <c r="H723" s="10">
        <f>H722</f>
        <v>1372.5150000000001</v>
      </c>
      <c r="I723" s="389">
        <f t="shared" si="111"/>
        <v>71.381058872477638</v>
      </c>
    </row>
    <row r="724" spans="1:9" ht="15.75" hidden="1" x14ac:dyDescent="0.25">
      <c r="A724" s="396" t="s">
        <v>135</v>
      </c>
      <c r="B724" s="392" t="s">
        <v>1417</v>
      </c>
      <c r="C724" s="399" t="s">
        <v>234</v>
      </c>
      <c r="D724" s="399" t="s">
        <v>215</v>
      </c>
      <c r="E724" s="2">
        <v>800</v>
      </c>
      <c r="F724" s="2"/>
      <c r="G724" s="10">
        <f>G725</f>
        <v>0</v>
      </c>
      <c r="H724" s="10">
        <f>H725</f>
        <v>0</v>
      </c>
      <c r="I724" s="389" t="e">
        <f t="shared" si="111"/>
        <v>#DIV/0!</v>
      </c>
    </row>
    <row r="725" spans="1:9" s="191" customFormat="1" ht="47.25" hidden="1" x14ac:dyDescent="0.25">
      <c r="A725" s="396" t="s">
        <v>835</v>
      </c>
      <c r="B725" s="392" t="s">
        <v>1417</v>
      </c>
      <c r="C725" s="399" t="s">
        <v>234</v>
      </c>
      <c r="D725" s="399" t="s">
        <v>215</v>
      </c>
      <c r="E725" s="2">
        <v>830</v>
      </c>
      <c r="F725" s="2"/>
      <c r="G725" s="10">
        <f>'Пр.3 Рд,пр, ЦС,ВР 21'!F457</f>
        <v>0</v>
      </c>
      <c r="H725" s="10">
        <f>'Пр.3 Рд,пр, ЦС,ВР 21'!G457</f>
        <v>0</v>
      </c>
      <c r="I725" s="389" t="e">
        <f t="shared" si="111"/>
        <v>#DIV/0!</v>
      </c>
    </row>
    <row r="726" spans="1:9" s="191" customFormat="1" ht="31.5" hidden="1" x14ac:dyDescent="0.25">
      <c r="A726" s="45" t="s">
        <v>623</v>
      </c>
      <c r="B726" s="392" t="s">
        <v>1417</v>
      </c>
      <c r="C726" s="399" t="s">
        <v>234</v>
      </c>
      <c r="D726" s="399" t="s">
        <v>215</v>
      </c>
      <c r="E726" s="2">
        <v>830</v>
      </c>
      <c r="F726" s="2">
        <v>908</v>
      </c>
      <c r="G726" s="10">
        <f>G725</f>
        <v>0</v>
      </c>
      <c r="H726" s="10">
        <f>H725</f>
        <v>0</v>
      </c>
      <c r="I726" s="389" t="e">
        <f t="shared" si="111"/>
        <v>#DIV/0!</v>
      </c>
    </row>
    <row r="727" spans="1:9" s="191" customFormat="1" ht="15.75" hidden="1" x14ac:dyDescent="0.25">
      <c r="A727" s="396" t="s">
        <v>135</v>
      </c>
      <c r="B727" s="392" t="s">
        <v>1417</v>
      </c>
      <c r="C727" s="399" t="s">
        <v>234</v>
      </c>
      <c r="D727" s="399" t="s">
        <v>215</v>
      </c>
      <c r="E727" s="2">
        <v>800</v>
      </c>
      <c r="F727" s="2"/>
      <c r="G727" s="10">
        <f>G728</f>
        <v>0</v>
      </c>
      <c r="H727" s="10">
        <f>H728</f>
        <v>0</v>
      </c>
      <c r="I727" s="389" t="e">
        <f t="shared" si="111"/>
        <v>#DIV/0!</v>
      </c>
    </row>
    <row r="728" spans="1:9" ht="15.75" hidden="1" x14ac:dyDescent="0.25">
      <c r="A728" s="396" t="s">
        <v>1078</v>
      </c>
      <c r="B728" s="392" t="s">
        <v>1417</v>
      </c>
      <c r="C728" s="399" t="s">
        <v>234</v>
      </c>
      <c r="D728" s="399" t="s">
        <v>215</v>
      </c>
      <c r="E728" s="2">
        <v>850</v>
      </c>
      <c r="F728" s="2"/>
      <c r="G728" s="10">
        <f>'Пр.3 Рд,пр, ЦС,ВР 21'!F458</f>
        <v>0</v>
      </c>
      <c r="H728" s="10">
        <f>'Пр.3 Рд,пр, ЦС,ВР 21'!G458</f>
        <v>0</v>
      </c>
      <c r="I728" s="389" t="e">
        <f t="shared" si="111"/>
        <v>#DIV/0!</v>
      </c>
    </row>
    <row r="729" spans="1:9" s="191" customFormat="1" ht="31.5" hidden="1" x14ac:dyDescent="0.25">
      <c r="A729" s="45" t="s">
        <v>623</v>
      </c>
      <c r="B729" s="392" t="s">
        <v>1417</v>
      </c>
      <c r="C729" s="399" t="s">
        <v>234</v>
      </c>
      <c r="D729" s="399" t="s">
        <v>215</v>
      </c>
      <c r="E729" s="2">
        <v>850</v>
      </c>
      <c r="F729" s="2">
        <v>908</v>
      </c>
      <c r="G729" s="10">
        <f>G728</f>
        <v>0</v>
      </c>
      <c r="H729" s="10">
        <f>H728</f>
        <v>0</v>
      </c>
      <c r="I729" s="389" t="e">
        <f t="shared" si="111"/>
        <v>#DIV/0!</v>
      </c>
    </row>
    <row r="730" spans="1:9" ht="15.75" hidden="1" x14ac:dyDescent="0.25">
      <c r="A730" s="396" t="s">
        <v>550</v>
      </c>
      <c r="B730" s="392" t="s">
        <v>1296</v>
      </c>
      <c r="C730" s="399" t="s">
        <v>234</v>
      </c>
      <c r="D730" s="399" t="s">
        <v>215</v>
      </c>
      <c r="E730" s="2"/>
      <c r="F730" s="2"/>
      <c r="G730" s="10">
        <f t="shared" ref="G730:H730" si="112">G731</f>
        <v>0</v>
      </c>
      <c r="H730" s="10">
        <f t="shared" si="112"/>
        <v>0</v>
      </c>
      <c r="I730" s="389" t="e">
        <f t="shared" si="111"/>
        <v>#DIV/0!</v>
      </c>
    </row>
    <row r="731" spans="1:9" ht="31.5" hidden="1" x14ac:dyDescent="0.25">
      <c r="A731" s="396" t="s">
        <v>131</v>
      </c>
      <c r="B731" s="392" t="s">
        <v>1296</v>
      </c>
      <c r="C731" s="399" t="s">
        <v>234</v>
      </c>
      <c r="D731" s="399" t="s">
        <v>215</v>
      </c>
      <c r="E731" s="2">
        <v>200</v>
      </c>
      <c r="F731" s="2"/>
      <c r="G731" s="10">
        <f>G732</f>
        <v>0</v>
      </c>
      <c r="H731" s="10">
        <f>H732</f>
        <v>0</v>
      </c>
      <c r="I731" s="389" t="e">
        <f t="shared" si="111"/>
        <v>#DIV/0!</v>
      </c>
    </row>
    <row r="732" spans="1:9" ht="31.5" hidden="1" x14ac:dyDescent="0.25">
      <c r="A732" s="396" t="s">
        <v>133</v>
      </c>
      <c r="B732" s="392" t="s">
        <v>1296</v>
      </c>
      <c r="C732" s="399" t="s">
        <v>234</v>
      </c>
      <c r="D732" s="399" t="s">
        <v>215</v>
      </c>
      <c r="E732" s="2">
        <v>240</v>
      </c>
      <c r="F732" s="2"/>
      <c r="G732" s="10">
        <f>'Пр.4 ведом.21'!G1117</f>
        <v>0</v>
      </c>
      <c r="H732" s="10">
        <f>'Пр.4 ведом.21'!H1117</f>
        <v>0</v>
      </c>
      <c r="I732" s="389" t="e">
        <f t="shared" si="111"/>
        <v>#DIV/0!</v>
      </c>
    </row>
    <row r="733" spans="1:9" ht="37.5" hidden="1" customHeight="1" x14ac:dyDescent="0.25">
      <c r="A733" s="45" t="s">
        <v>623</v>
      </c>
      <c r="B733" s="392" t="s">
        <v>1296</v>
      </c>
      <c r="C733" s="399" t="s">
        <v>234</v>
      </c>
      <c r="D733" s="399" t="s">
        <v>215</v>
      </c>
      <c r="E733" s="2">
        <v>240</v>
      </c>
      <c r="F733" s="2">
        <v>908</v>
      </c>
      <c r="G733" s="10">
        <f>G732</f>
        <v>0</v>
      </c>
      <c r="H733" s="10">
        <f>H732</f>
        <v>0</v>
      </c>
      <c r="I733" s="389" t="e">
        <f t="shared" si="111"/>
        <v>#DIV/0!</v>
      </c>
    </row>
    <row r="734" spans="1:9" ht="15.75" x14ac:dyDescent="0.25">
      <c r="A734" s="396" t="s">
        <v>555</v>
      </c>
      <c r="B734" s="392" t="s">
        <v>1273</v>
      </c>
      <c r="C734" s="399" t="s">
        <v>234</v>
      </c>
      <c r="D734" s="399" t="s">
        <v>215</v>
      </c>
      <c r="E734" s="2"/>
      <c r="F734" s="2"/>
      <c r="G734" s="10">
        <f t="shared" ref="G734:H735" si="113">G735</f>
        <v>16.100000000000001</v>
      </c>
      <c r="H734" s="10">
        <f t="shared" si="113"/>
        <v>16.03</v>
      </c>
      <c r="I734" s="389">
        <f t="shared" si="111"/>
        <v>99.565217391304344</v>
      </c>
    </row>
    <row r="735" spans="1:9" ht="31.5" x14ac:dyDescent="0.25">
      <c r="A735" s="396" t="s">
        <v>131</v>
      </c>
      <c r="B735" s="392" t="s">
        <v>1273</v>
      </c>
      <c r="C735" s="399" t="s">
        <v>234</v>
      </c>
      <c r="D735" s="399" t="s">
        <v>215</v>
      </c>
      <c r="E735" s="2">
        <v>200</v>
      </c>
      <c r="F735" s="2"/>
      <c r="G735" s="10">
        <f t="shared" si="113"/>
        <v>16.100000000000001</v>
      </c>
      <c r="H735" s="10">
        <f t="shared" si="113"/>
        <v>16.03</v>
      </c>
      <c r="I735" s="389">
        <f t="shared" si="111"/>
        <v>99.565217391304344</v>
      </c>
    </row>
    <row r="736" spans="1:9" ht="31.5" x14ac:dyDescent="0.25">
      <c r="A736" s="396" t="s">
        <v>133</v>
      </c>
      <c r="B736" s="392" t="s">
        <v>1273</v>
      </c>
      <c r="C736" s="399" t="s">
        <v>234</v>
      </c>
      <c r="D736" s="399" t="s">
        <v>215</v>
      </c>
      <c r="E736" s="2">
        <v>240</v>
      </c>
      <c r="F736" s="2"/>
      <c r="G736" s="10">
        <f>'Пр.4 ведом.21'!G1120</f>
        <v>16.100000000000001</v>
      </c>
      <c r="H736" s="10">
        <f>'Пр.4 ведом.21'!H1120</f>
        <v>16.03</v>
      </c>
      <c r="I736" s="389">
        <f t="shared" si="111"/>
        <v>99.565217391304344</v>
      </c>
    </row>
    <row r="737" spans="1:9" s="191" customFormat="1" ht="39.200000000000003" customHeight="1" x14ac:dyDescent="0.25">
      <c r="A737" s="45" t="s">
        <v>623</v>
      </c>
      <c r="B737" s="392" t="s">
        <v>1273</v>
      </c>
      <c r="C737" s="399" t="s">
        <v>234</v>
      </c>
      <c r="D737" s="399" t="s">
        <v>215</v>
      </c>
      <c r="E737" s="2">
        <v>240</v>
      </c>
      <c r="F737" s="2">
        <v>908</v>
      </c>
      <c r="G737" s="10">
        <f>G736</f>
        <v>16.100000000000001</v>
      </c>
      <c r="H737" s="10">
        <f>H736</f>
        <v>16.03</v>
      </c>
      <c r="I737" s="389">
        <f t="shared" si="111"/>
        <v>99.565217391304344</v>
      </c>
    </row>
    <row r="738" spans="1:9" ht="31.5" x14ac:dyDescent="0.25">
      <c r="A738" s="287" t="s">
        <v>1430</v>
      </c>
      <c r="B738" s="392" t="s">
        <v>1274</v>
      </c>
      <c r="C738" s="399" t="s">
        <v>234</v>
      </c>
      <c r="D738" s="399" t="s">
        <v>215</v>
      </c>
      <c r="E738" s="2"/>
      <c r="F738" s="2"/>
      <c r="G738" s="10">
        <f>G739+G742</f>
        <v>20.5</v>
      </c>
      <c r="H738" s="10">
        <f>H739+H742</f>
        <v>20.420000000000002</v>
      </c>
      <c r="I738" s="389">
        <f t="shared" si="111"/>
        <v>99.609756097560989</v>
      </c>
    </row>
    <row r="739" spans="1:9" ht="31.5" x14ac:dyDescent="0.25">
      <c r="A739" s="396" t="s">
        <v>131</v>
      </c>
      <c r="B739" s="392" t="s">
        <v>1274</v>
      </c>
      <c r="C739" s="399" t="s">
        <v>234</v>
      </c>
      <c r="D739" s="399" t="s">
        <v>215</v>
      </c>
      <c r="E739" s="2">
        <v>200</v>
      </c>
      <c r="F739" s="2"/>
      <c r="G739" s="10">
        <f t="shared" ref="G739:H739" si="114">G740</f>
        <v>20.5</v>
      </c>
      <c r="H739" s="10">
        <f t="shared" si="114"/>
        <v>20.420000000000002</v>
      </c>
      <c r="I739" s="389">
        <f t="shared" si="111"/>
        <v>99.609756097560989</v>
      </c>
    </row>
    <row r="740" spans="1:9" ht="31.5" x14ac:dyDescent="0.25">
      <c r="A740" s="396" t="s">
        <v>133</v>
      </c>
      <c r="B740" s="392" t="s">
        <v>1274</v>
      </c>
      <c r="C740" s="399" t="s">
        <v>234</v>
      </c>
      <c r="D740" s="399" t="s">
        <v>215</v>
      </c>
      <c r="E740" s="2">
        <v>240</v>
      </c>
      <c r="F740" s="2"/>
      <c r="G740" s="10">
        <f>'Пр.4 ведом.21'!G1123</f>
        <v>20.5</v>
      </c>
      <c r="H740" s="10">
        <f>'Пр.4 ведом.21'!H1123</f>
        <v>20.420000000000002</v>
      </c>
      <c r="I740" s="389">
        <f t="shared" si="111"/>
        <v>99.609756097560989</v>
      </c>
    </row>
    <row r="741" spans="1:9" s="191" customFormat="1" ht="42" customHeight="1" x14ac:dyDescent="0.25">
      <c r="A741" s="45" t="s">
        <v>623</v>
      </c>
      <c r="B741" s="392" t="s">
        <v>1274</v>
      </c>
      <c r="C741" s="399" t="s">
        <v>234</v>
      </c>
      <c r="D741" s="399" t="s">
        <v>215</v>
      </c>
      <c r="E741" s="2">
        <v>240</v>
      </c>
      <c r="F741" s="2">
        <v>908</v>
      </c>
      <c r="G741" s="10">
        <f>G740</f>
        <v>20.5</v>
      </c>
      <c r="H741" s="10">
        <f>H740</f>
        <v>20.420000000000002</v>
      </c>
      <c r="I741" s="389">
        <f t="shared" si="111"/>
        <v>99.609756097560989</v>
      </c>
    </row>
    <row r="742" spans="1:9" s="191" customFormat="1" ht="15.75" hidden="1" x14ac:dyDescent="0.25">
      <c r="A742" s="29" t="s">
        <v>135</v>
      </c>
      <c r="B742" s="392" t="s">
        <v>1274</v>
      </c>
      <c r="C742" s="399" t="s">
        <v>234</v>
      </c>
      <c r="D742" s="399" t="s">
        <v>215</v>
      </c>
      <c r="E742" s="2">
        <v>800</v>
      </c>
      <c r="F742" s="2"/>
      <c r="G742" s="10">
        <f>G743</f>
        <v>0</v>
      </c>
      <c r="H742" s="10">
        <f>H743</f>
        <v>0</v>
      </c>
      <c r="I742" s="389" t="e">
        <f t="shared" si="111"/>
        <v>#DIV/0!</v>
      </c>
    </row>
    <row r="743" spans="1:9" s="191" customFormat="1" ht="15.75" hidden="1" x14ac:dyDescent="0.25">
      <c r="A743" s="396" t="s">
        <v>704</v>
      </c>
      <c r="B743" s="392" t="s">
        <v>1274</v>
      </c>
      <c r="C743" s="399" t="s">
        <v>234</v>
      </c>
      <c r="D743" s="399" t="s">
        <v>215</v>
      </c>
      <c r="E743" s="2">
        <v>850</v>
      </c>
      <c r="F743" s="2"/>
      <c r="G743" s="10">
        <f>'Пр.4 ведом.21'!G1125</f>
        <v>0</v>
      </c>
      <c r="H743" s="10">
        <f>'Пр.4 ведом.21'!H1125</f>
        <v>0</v>
      </c>
      <c r="I743" s="389" t="e">
        <f t="shared" si="111"/>
        <v>#DIV/0!</v>
      </c>
    </row>
    <row r="744" spans="1:9" s="191" customFormat="1" ht="31.5" hidden="1" x14ac:dyDescent="0.25">
      <c r="A744" s="45" t="s">
        <v>623</v>
      </c>
      <c r="B744" s="392" t="s">
        <v>1274</v>
      </c>
      <c r="C744" s="399" t="s">
        <v>234</v>
      </c>
      <c r="D744" s="399" t="s">
        <v>215</v>
      </c>
      <c r="E744" s="2">
        <v>850</v>
      </c>
      <c r="F744" s="2">
        <v>908</v>
      </c>
      <c r="G744" s="10">
        <f>G743</f>
        <v>0</v>
      </c>
      <c r="H744" s="10">
        <f>H743</f>
        <v>0</v>
      </c>
      <c r="I744" s="389" t="e">
        <f t="shared" si="111"/>
        <v>#DIV/0!</v>
      </c>
    </row>
    <row r="745" spans="1:9" ht="15.75" hidden="1" customHeight="1" x14ac:dyDescent="0.25">
      <c r="A745" s="45" t="s">
        <v>559</v>
      </c>
      <c r="B745" s="392" t="s">
        <v>1275</v>
      </c>
      <c r="C745" s="399" t="s">
        <v>234</v>
      </c>
      <c r="D745" s="399" t="s">
        <v>215</v>
      </c>
      <c r="E745" s="2"/>
      <c r="F745" s="2"/>
      <c r="G745" s="10">
        <f t="shared" ref="G745:H746" si="115">G746</f>
        <v>0</v>
      </c>
      <c r="H745" s="10">
        <f t="shared" si="115"/>
        <v>0</v>
      </c>
      <c r="I745" s="389" t="e">
        <f t="shared" si="111"/>
        <v>#DIV/0!</v>
      </c>
    </row>
    <row r="746" spans="1:9" ht="31.7" hidden="1" customHeight="1" x14ac:dyDescent="0.25">
      <c r="A746" s="396" t="s">
        <v>131</v>
      </c>
      <c r="B746" s="392" t="s">
        <v>1275</v>
      </c>
      <c r="C746" s="399" t="s">
        <v>234</v>
      </c>
      <c r="D746" s="399" t="s">
        <v>215</v>
      </c>
      <c r="E746" s="2">
        <v>200</v>
      </c>
      <c r="F746" s="2"/>
      <c r="G746" s="10">
        <f t="shared" si="115"/>
        <v>0</v>
      </c>
      <c r="H746" s="10">
        <f t="shared" si="115"/>
        <v>0</v>
      </c>
      <c r="I746" s="389" t="e">
        <f t="shared" si="111"/>
        <v>#DIV/0!</v>
      </c>
    </row>
    <row r="747" spans="1:9" ht="31.7" hidden="1" customHeight="1" x14ac:dyDescent="0.25">
      <c r="A747" s="396" t="s">
        <v>133</v>
      </c>
      <c r="B747" s="392" t="s">
        <v>1275</v>
      </c>
      <c r="C747" s="399" t="s">
        <v>234</v>
      </c>
      <c r="D747" s="399" t="s">
        <v>215</v>
      </c>
      <c r="E747" s="2">
        <v>240</v>
      </c>
      <c r="F747" s="2"/>
      <c r="G747" s="10">
        <f>'Пр.3 Рд,пр, ЦС,ВР 21'!F472</f>
        <v>0</v>
      </c>
      <c r="H747" s="10">
        <f>'Пр.3 Рд,пр, ЦС,ВР 21'!G472</f>
        <v>0</v>
      </c>
      <c r="I747" s="389" t="e">
        <f t="shared" si="111"/>
        <v>#DIV/0!</v>
      </c>
    </row>
    <row r="748" spans="1:9" ht="31.5" hidden="1" x14ac:dyDescent="0.25">
      <c r="A748" s="45" t="s">
        <v>623</v>
      </c>
      <c r="B748" s="392" t="s">
        <v>1275</v>
      </c>
      <c r="C748" s="399" t="s">
        <v>234</v>
      </c>
      <c r="D748" s="399" t="s">
        <v>215</v>
      </c>
      <c r="E748" s="2">
        <v>850</v>
      </c>
      <c r="F748" s="2">
        <v>908</v>
      </c>
      <c r="G748" s="10">
        <f>G747</f>
        <v>0</v>
      </c>
      <c r="H748" s="10">
        <f>H747</f>
        <v>0</v>
      </c>
      <c r="I748" s="389" t="e">
        <f t="shared" si="111"/>
        <v>#DIV/0!</v>
      </c>
    </row>
    <row r="749" spans="1:9" s="191" customFormat="1" ht="31.5" x14ac:dyDescent="0.25">
      <c r="A749" s="213" t="s">
        <v>1089</v>
      </c>
      <c r="B749" s="392" t="s">
        <v>1276</v>
      </c>
      <c r="C749" s="399" t="s">
        <v>234</v>
      </c>
      <c r="D749" s="399" t="s">
        <v>215</v>
      </c>
      <c r="E749" s="2"/>
      <c r="F749" s="2"/>
      <c r="G749" s="10">
        <f>G750</f>
        <v>286.5</v>
      </c>
      <c r="H749" s="10">
        <f>H750</f>
        <v>286.45499999999998</v>
      </c>
      <c r="I749" s="389">
        <f t="shared" si="111"/>
        <v>99.984293193717278</v>
      </c>
    </row>
    <row r="750" spans="1:9" s="191" customFormat="1" ht="31.5" x14ac:dyDescent="0.25">
      <c r="A750" s="396" t="s">
        <v>131</v>
      </c>
      <c r="B750" s="392" t="s">
        <v>1276</v>
      </c>
      <c r="C750" s="399" t="s">
        <v>234</v>
      </c>
      <c r="D750" s="399" t="s">
        <v>215</v>
      </c>
      <c r="E750" s="2">
        <v>200</v>
      </c>
      <c r="F750" s="2"/>
      <c r="G750" s="10">
        <f>G751</f>
        <v>286.5</v>
      </c>
      <c r="H750" s="10">
        <f>H751</f>
        <v>286.45499999999998</v>
      </c>
      <c r="I750" s="389">
        <f t="shared" si="111"/>
        <v>99.984293193717278</v>
      </c>
    </row>
    <row r="751" spans="1:9" s="191" customFormat="1" ht="31.5" x14ac:dyDescent="0.25">
      <c r="A751" s="396" t="s">
        <v>133</v>
      </c>
      <c r="B751" s="392" t="s">
        <v>1276</v>
      </c>
      <c r="C751" s="399" t="s">
        <v>234</v>
      </c>
      <c r="D751" s="399" t="s">
        <v>215</v>
      </c>
      <c r="E751" s="2">
        <v>240</v>
      </c>
      <c r="F751" s="2"/>
      <c r="G751" s="10">
        <f>'Пр.4 ведом.21'!G1131</f>
        <v>286.5</v>
      </c>
      <c r="H751" s="10">
        <f>'Пр.4 ведом.21'!H1131</f>
        <v>286.45499999999998</v>
      </c>
      <c r="I751" s="389">
        <f t="shared" si="111"/>
        <v>99.984293193717278</v>
      </c>
    </row>
    <row r="752" spans="1:9" s="191" customFormat="1" ht="36.75" customHeight="1" x14ac:dyDescent="0.25">
      <c r="A752" s="45" t="s">
        <v>623</v>
      </c>
      <c r="B752" s="392" t="s">
        <v>1276</v>
      </c>
      <c r="C752" s="399" t="s">
        <v>234</v>
      </c>
      <c r="D752" s="399" t="s">
        <v>215</v>
      </c>
      <c r="E752" s="2">
        <v>240</v>
      </c>
      <c r="F752" s="2">
        <v>908</v>
      </c>
      <c r="G752" s="10">
        <f>G751</f>
        <v>286.5</v>
      </c>
      <c r="H752" s="10">
        <f>H751</f>
        <v>286.45499999999998</v>
      </c>
      <c r="I752" s="389">
        <f t="shared" si="111"/>
        <v>99.984293193717278</v>
      </c>
    </row>
    <row r="753" spans="1:9" s="191" customFormat="1" ht="31.5" x14ac:dyDescent="0.25">
      <c r="A753" s="394" t="s">
        <v>890</v>
      </c>
      <c r="B753" s="395" t="s">
        <v>1294</v>
      </c>
      <c r="C753" s="7"/>
      <c r="D753" s="7"/>
      <c r="E753" s="3"/>
      <c r="F753" s="3"/>
      <c r="G753" s="59">
        <f>G754</f>
        <v>1857.2</v>
      </c>
      <c r="H753" s="59">
        <f>H754</f>
        <v>1856.3209999999999</v>
      </c>
      <c r="I753" s="492">
        <f t="shared" si="111"/>
        <v>99.952670687055772</v>
      </c>
    </row>
    <row r="754" spans="1:9" s="191" customFormat="1" ht="15.75" x14ac:dyDescent="0.25">
      <c r="A754" s="73" t="s">
        <v>390</v>
      </c>
      <c r="B754" s="392" t="s">
        <v>1294</v>
      </c>
      <c r="C754" s="399" t="s">
        <v>234</v>
      </c>
      <c r="D754" s="399"/>
      <c r="E754" s="2"/>
      <c r="F754" s="2"/>
      <c r="G754" s="10">
        <f t="shared" ref="G754:H754" si="116">G755</f>
        <v>1857.2</v>
      </c>
      <c r="H754" s="10">
        <f t="shared" si="116"/>
        <v>1856.3209999999999</v>
      </c>
      <c r="I754" s="389">
        <f t="shared" si="111"/>
        <v>99.952670687055772</v>
      </c>
    </row>
    <row r="755" spans="1:9" s="191" customFormat="1" ht="15.75" x14ac:dyDescent="0.25">
      <c r="A755" s="73" t="s">
        <v>541</v>
      </c>
      <c r="B755" s="392" t="s">
        <v>1294</v>
      </c>
      <c r="C755" s="399" t="s">
        <v>234</v>
      </c>
      <c r="D755" s="399" t="s">
        <v>215</v>
      </c>
      <c r="E755" s="2"/>
      <c r="F755" s="2"/>
      <c r="G755" s="10">
        <f>G756+G760</f>
        <v>1857.2</v>
      </c>
      <c r="H755" s="10">
        <f>H756+H760</f>
        <v>1856.3209999999999</v>
      </c>
      <c r="I755" s="389">
        <f t="shared" si="111"/>
        <v>99.952670687055772</v>
      </c>
    </row>
    <row r="756" spans="1:9" s="191" customFormat="1" ht="31.5" hidden="1" x14ac:dyDescent="0.25">
      <c r="A756" s="396" t="s">
        <v>690</v>
      </c>
      <c r="B756" s="392" t="s">
        <v>1325</v>
      </c>
      <c r="C756" s="399" t="s">
        <v>234</v>
      </c>
      <c r="D756" s="399" t="s">
        <v>215</v>
      </c>
      <c r="E756" s="2"/>
      <c r="F756" s="2"/>
      <c r="G756" s="10">
        <f>G757</f>
        <v>0</v>
      </c>
      <c r="H756" s="10">
        <f>H757</f>
        <v>0</v>
      </c>
      <c r="I756" s="389" t="e">
        <f t="shared" si="111"/>
        <v>#DIV/0!</v>
      </c>
    </row>
    <row r="757" spans="1:9" s="191" customFormat="1" ht="31.5" hidden="1" x14ac:dyDescent="0.25">
      <c r="A757" s="396" t="s">
        <v>131</v>
      </c>
      <c r="B757" s="392" t="s">
        <v>1325</v>
      </c>
      <c r="C757" s="399" t="s">
        <v>234</v>
      </c>
      <c r="D757" s="399" t="s">
        <v>215</v>
      </c>
      <c r="E757" s="392" t="s">
        <v>132</v>
      </c>
      <c r="F757" s="2"/>
      <c r="G757" s="10">
        <f>G758</f>
        <v>0</v>
      </c>
      <c r="H757" s="10">
        <f>H758</f>
        <v>0</v>
      </c>
      <c r="I757" s="389" t="e">
        <f t="shared" si="111"/>
        <v>#DIV/0!</v>
      </c>
    </row>
    <row r="758" spans="1:9" s="191" customFormat="1" ht="31.5" hidden="1" x14ac:dyDescent="0.25">
      <c r="A758" s="396" t="s">
        <v>133</v>
      </c>
      <c r="B758" s="392" t="s">
        <v>1325</v>
      </c>
      <c r="C758" s="399" t="s">
        <v>234</v>
      </c>
      <c r="D758" s="399" t="s">
        <v>215</v>
      </c>
      <c r="E758" s="392" t="s">
        <v>134</v>
      </c>
      <c r="F758" s="2"/>
      <c r="G758" s="10">
        <f>'Пр.3 Рд,пр, ЦС,ВР 21'!F479</f>
        <v>0</v>
      </c>
      <c r="H758" s="10">
        <f>'Пр.3 Рд,пр, ЦС,ВР 21'!G479</f>
        <v>0</v>
      </c>
      <c r="I758" s="389" t="e">
        <f t="shared" si="111"/>
        <v>#DIV/0!</v>
      </c>
    </row>
    <row r="759" spans="1:9" s="191" customFormat="1" ht="31.5" hidden="1" x14ac:dyDescent="0.25">
      <c r="A759" s="45" t="s">
        <v>623</v>
      </c>
      <c r="B759" s="392" t="s">
        <v>1325</v>
      </c>
      <c r="C759" s="399" t="s">
        <v>234</v>
      </c>
      <c r="D759" s="399" t="s">
        <v>215</v>
      </c>
      <c r="E759" s="392" t="s">
        <v>134</v>
      </c>
      <c r="F759" s="2">
        <v>908</v>
      </c>
      <c r="G759" s="10">
        <f>G758</f>
        <v>0</v>
      </c>
      <c r="H759" s="10">
        <f>H758</f>
        <v>0</v>
      </c>
      <c r="I759" s="389" t="e">
        <f t="shared" si="111"/>
        <v>#DIV/0!</v>
      </c>
    </row>
    <row r="760" spans="1:9" s="191" customFormat="1" ht="63" x14ac:dyDescent="0.25">
      <c r="A760" s="396" t="s">
        <v>1071</v>
      </c>
      <c r="B760" s="392" t="s">
        <v>1293</v>
      </c>
      <c r="C760" s="399" t="s">
        <v>234</v>
      </c>
      <c r="D760" s="399" t="s">
        <v>215</v>
      </c>
      <c r="E760" s="392"/>
      <c r="F760" s="2"/>
      <c r="G760" s="10">
        <f>G761</f>
        <v>1857.2</v>
      </c>
      <c r="H760" s="10">
        <f>H761</f>
        <v>1856.3209999999999</v>
      </c>
      <c r="I760" s="389">
        <f t="shared" si="111"/>
        <v>99.952670687055772</v>
      </c>
    </row>
    <row r="761" spans="1:9" s="191" customFormat="1" ht="31.5" x14ac:dyDescent="0.25">
      <c r="A761" s="396" t="s">
        <v>131</v>
      </c>
      <c r="B761" s="392" t="s">
        <v>1293</v>
      </c>
      <c r="C761" s="399" t="s">
        <v>234</v>
      </c>
      <c r="D761" s="399" t="s">
        <v>215</v>
      </c>
      <c r="E761" s="392" t="s">
        <v>132</v>
      </c>
      <c r="F761" s="2"/>
      <c r="G761" s="10">
        <f>G762</f>
        <v>1857.2</v>
      </c>
      <c r="H761" s="10">
        <f>H762</f>
        <v>1856.3209999999999</v>
      </c>
      <c r="I761" s="389">
        <f t="shared" si="111"/>
        <v>99.952670687055772</v>
      </c>
    </row>
    <row r="762" spans="1:9" s="191" customFormat="1" ht="31.5" x14ac:dyDescent="0.25">
      <c r="A762" s="396" t="s">
        <v>133</v>
      </c>
      <c r="B762" s="392" t="s">
        <v>1293</v>
      </c>
      <c r="C762" s="399" t="s">
        <v>234</v>
      </c>
      <c r="D762" s="399" t="s">
        <v>215</v>
      </c>
      <c r="E762" s="392" t="s">
        <v>134</v>
      </c>
      <c r="F762" s="2"/>
      <c r="G762" s="10">
        <f>'Пр.3 Рд,пр, ЦС,ВР 21'!F482</f>
        <v>1857.2</v>
      </c>
      <c r="H762" s="10">
        <f>'Пр.3 Рд,пр, ЦС,ВР 21'!G482</f>
        <v>1856.3209999999999</v>
      </c>
      <c r="I762" s="389">
        <f t="shared" si="111"/>
        <v>99.952670687055772</v>
      </c>
    </row>
    <row r="763" spans="1:9" s="191" customFormat="1" ht="38.25" customHeight="1" x14ac:dyDescent="0.25">
      <c r="A763" s="45" t="s">
        <v>623</v>
      </c>
      <c r="B763" s="392" t="s">
        <v>1293</v>
      </c>
      <c r="C763" s="399" t="s">
        <v>234</v>
      </c>
      <c r="D763" s="399" t="s">
        <v>215</v>
      </c>
      <c r="E763" s="392" t="s">
        <v>134</v>
      </c>
      <c r="F763" s="2">
        <v>908</v>
      </c>
      <c r="G763" s="10">
        <f>G762</f>
        <v>1857.2</v>
      </c>
      <c r="H763" s="10">
        <f>H762</f>
        <v>1856.3209999999999</v>
      </c>
      <c r="I763" s="389">
        <f t="shared" si="111"/>
        <v>99.952670687055772</v>
      </c>
    </row>
    <row r="764" spans="1:9" s="387" customFormat="1" ht="31.5" x14ac:dyDescent="0.25">
      <c r="A764" s="34" t="s">
        <v>1571</v>
      </c>
      <c r="B764" s="395" t="s">
        <v>1572</v>
      </c>
      <c r="C764" s="7"/>
      <c r="D764" s="7"/>
      <c r="E764" s="395"/>
      <c r="F764" s="3"/>
      <c r="G764" s="59">
        <f t="shared" ref="G764:H768" si="117">G765</f>
        <v>1523.201</v>
      </c>
      <c r="H764" s="59">
        <f t="shared" si="117"/>
        <v>1523.1969999999999</v>
      </c>
      <c r="I764" s="492">
        <f t="shared" si="111"/>
        <v>99.999737395130367</v>
      </c>
    </row>
    <row r="765" spans="1:9" s="387" customFormat="1" ht="15.75" x14ac:dyDescent="0.25">
      <c r="A765" s="73" t="s">
        <v>390</v>
      </c>
      <c r="B765" s="392" t="s">
        <v>1572</v>
      </c>
      <c r="C765" s="399" t="s">
        <v>234</v>
      </c>
      <c r="D765" s="399"/>
      <c r="E765" s="392"/>
      <c r="F765" s="2"/>
      <c r="G765" s="10">
        <f t="shared" si="117"/>
        <v>1523.201</v>
      </c>
      <c r="H765" s="10">
        <f t="shared" si="117"/>
        <v>1523.1969999999999</v>
      </c>
      <c r="I765" s="389">
        <f t="shared" si="111"/>
        <v>99.999737395130367</v>
      </c>
    </row>
    <row r="766" spans="1:9" s="387" customFormat="1" ht="15.75" x14ac:dyDescent="0.25">
      <c r="A766" s="73" t="s">
        <v>541</v>
      </c>
      <c r="B766" s="392" t="s">
        <v>1572</v>
      </c>
      <c r="C766" s="399" t="s">
        <v>234</v>
      </c>
      <c r="D766" s="399" t="s">
        <v>215</v>
      </c>
      <c r="E766" s="392"/>
      <c r="F766" s="2"/>
      <c r="G766" s="10">
        <f t="shared" si="117"/>
        <v>1523.201</v>
      </c>
      <c r="H766" s="10">
        <f t="shared" si="117"/>
        <v>1523.1969999999999</v>
      </c>
      <c r="I766" s="389">
        <f t="shared" si="111"/>
        <v>99.999737395130367</v>
      </c>
    </row>
    <row r="767" spans="1:9" s="387" customFormat="1" ht="31.5" x14ac:dyDescent="0.25">
      <c r="A767" s="31" t="s">
        <v>1570</v>
      </c>
      <c r="B767" s="392" t="s">
        <v>1573</v>
      </c>
      <c r="C767" s="399" t="s">
        <v>234</v>
      </c>
      <c r="D767" s="399" t="s">
        <v>215</v>
      </c>
      <c r="E767" s="392"/>
      <c r="F767" s="2"/>
      <c r="G767" s="10">
        <f t="shared" si="117"/>
        <v>1523.201</v>
      </c>
      <c r="H767" s="10">
        <f t="shared" si="117"/>
        <v>1523.1969999999999</v>
      </c>
      <c r="I767" s="389">
        <f t="shared" si="111"/>
        <v>99.999737395130367</v>
      </c>
    </row>
    <row r="768" spans="1:9" s="387" customFormat="1" ht="31.5" x14ac:dyDescent="0.25">
      <c r="A768" s="396" t="s">
        <v>131</v>
      </c>
      <c r="B768" s="392" t="s">
        <v>1573</v>
      </c>
      <c r="C768" s="399" t="s">
        <v>234</v>
      </c>
      <c r="D768" s="399" t="s">
        <v>215</v>
      </c>
      <c r="E768" s="392" t="s">
        <v>132</v>
      </c>
      <c r="F768" s="2"/>
      <c r="G768" s="10">
        <f t="shared" si="117"/>
        <v>1523.201</v>
      </c>
      <c r="H768" s="10">
        <f t="shared" si="117"/>
        <v>1523.1969999999999</v>
      </c>
      <c r="I768" s="389">
        <f t="shared" si="111"/>
        <v>99.999737395130367</v>
      </c>
    </row>
    <row r="769" spans="1:9" s="387" customFormat="1" ht="31.5" x14ac:dyDescent="0.25">
      <c r="A769" s="396" t="s">
        <v>133</v>
      </c>
      <c r="B769" s="392" t="s">
        <v>1573</v>
      </c>
      <c r="C769" s="399" t="s">
        <v>234</v>
      </c>
      <c r="D769" s="399" t="s">
        <v>215</v>
      </c>
      <c r="E769" s="392" t="s">
        <v>134</v>
      </c>
      <c r="F769" s="2"/>
      <c r="G769" s="10">
        <f>'Пр.4 ведом.21'!G1142</f>
        <v>1523.201</v>
      </c>
      <c r="H769" s="10">
        <f>'Пр.4 ведом.21'!H1142</f>
        <v>1523.1969999999999</v>
      </c>
      <c r="I769" s="389">
        <f t="shared" si="111"/>
        <v>99.999737395130367</v>
      </c>
    </row>
    <row r="770" spans="1:9" s="387" customFormat="1" ht="31.5" x14ac:dyDescent="0.25">
      <c r="A770" s="45" t="s">
        <v>623</v>
      </c>
      <c r="B770" s="392" t="s">
        <v>1573</v>
      </c>
      <c r="C770" s="399" t="s">
        <v>234</v>
      </c>
      <c r="D770" s="399" t="s">
        <v>215</v>
      </c>
      <c r="E770" s="392" t="s">
        <v>134</v>
      </c>
      <c r="F770" s="2">
        <v>908</v>
      </c>
      <c r="G770" s="10">
        <f>G769</f>
        <v>1523.201</v>
      </c>
      <c r="H770" s="10">
        <f>H769</f>
        <v>1523.1969999999999</v>
      </c>
      <c r="I770" s="389">
        <f t="shared" si="111"/>
        <v>99.999737395130367</v>
      </c>
    </row>
    <row r="771" spans="1:9" s="387" customFormat="1" ht="37.5" customHeight="1" x14ac:dyDescent="0.25">
      <c r="A771" s="34" t="s">
        <v>1599</v>
      </c>
      <c r="B771" s="395" t="s">
        <v>1596</v>
      </c>
      <c r="C771" s="7"/>
      <c r="D771" s="7"/>
      <c r="E771" s="395"/>
      <c r="F771" s="3"/>
      <c r="G771" s="59">
        <f t="shared" ref="G771:H775" si="118">G772</f>
        <v>4637.2</v>
      </c>
      <c r="H771" s="59">
        <f t="shared" si="118"/>
        <v>4637.1760000000004</v>
      </c>
      <c r="I771" s="492">
        <f t="shared" si="111"/>
        <v>99.999482446303816</v>
      </c>
    </row>
    <row r="772" spans="1:9" s="387" customFormat="1" ht="15.75" x14ac:dyDescent="0.25">
      <c r="A772" s="73" t="s">
        <v>390</v>
      </c>
      <c r="B772" s="392" t="s">
        <v>1596</v>
      </c>
      <c r="C772" s="399" t="s">
        <v>234</v>
      </c>
      <c r="D772" s="399"/>
      <c r="E772" s="392"/>
      <c r="F772" s="2"/>
      <c r="G772" s="10">
        <f t="shared" si="118"/>
        <v>4637.2</v>
      </c>
      <c r="H772" s="10">
        <f t="shared" si="118"/>
        <v>4637.1760000000004</v>
      </c>
      <c r="I772" s="389">
        <f t="shared" si="111"/>
        <v>99.999482446303816</v>
      </c>
    </row>
    <row r="773" spans="1:9" s="387" customFormat="1" ht="15.75" x14ac:dyDescent="0.25">
      <c r="A773" s="73" t="s">
        <v>541</v>
      </c>
      <c r="B773" s="392" t="s">
        <v>1596</v>
      </c>
      <c r="C773" s="399" t="s">
        <v>234</v>
      </c>
      <c r="D773" s="399" t="s">
        <v>215</v>
      </c>
      <c r="E773" s="392"/>
      <c r="F773" s="2"/>
      <c r="G773" s="10">
        <f t="shared" si="118"/>
        <v>4637.2</v>
      </c>
      <c r="H773" s="10">
        <f t="shared" si="118"/>
        <v>4637.1760000000004</v>
      </c>
      <c r="I773" s="389">
        <f t="shared" si="111"/>
        <v>99.999482446303816</v>
      </c>
    </row>
    <row r="774" spans="1:9" s="387" customFormat="1" ht="47.25" x14ac:dyDescent="0.25">
      <c r="A774" s="31" t="s">
        <v>1597</v>
      </c>
      <c r="B774" s="392" t="s">
        <v>1598</v>
      </c>
      <c r="C774" s="399" t="s">
        <v>234</v>
      </c>
      <c r="D774" s="399" t="s">
        <v>215</v>
      </c>
      <c r="E774" s="392"/>
      <c r="F774" s="2"/>
      <c r="G774" s="10">
        <f t="shared" si="118"/>
        <v>4637.2</v>
      </c>
      <c r="H774" s="10">
        <f t="shared" si="118"/>
        <v>4637.1760000000004</v>
      </c>
      <c r="I774" s="389">
        <f t="shared" si="111"/>
        <v>99.999482446303816</v>
      </c>
    </row>
    <row r="775" spans="1:9" s="387" customFormat="1" ht="31.5" x14ac:dyDescent="0.25">
      <c r="A775" s="396" t="s">
        <v>131</v>
      </c>
      <c r="B775" s="392" t="s">
        <v>1598</v>
      </c>
      <c r="C775" s="399" t="s">
        <v>234</v>
      </c>
      <c r="D775" s="399" t="s">
        <v>215</v>
      </c>
      <c r="E775" s="392" t="s">
        <v>132</v>
      </c>
      <c r="F775" s="2"/>
      <c r="G775" s="10">
        <f t="shared" si="118"/>
        <v>4637.2</v>
      </c>
      <c r="H775" s="10">
        <f t="shared" si="118"/>
        <v>4637.1760000000004</v>
      </c>
      <c r="I775" s="389">
        <f t="shared" si="111"/>
        <v>99.999482446303816</v>
      </c>
    </row>
    <row r="776" spans="1:9" s="387" customFormat="1" ht="31.5" x14ac:dyDescent="0.25">
      <c r="A776" s="396" t="s">
        <v>133</v>
      </c>
      <c r="B776" s="392" t="s">
        <v>1598</v>
      </c>
      <c r="C776" s="399" t="s">
        <v>234</v>
      </c>
      <c r="D776" s="399" t="s">
        <v>215</v>
      </c>
      <c r="E776" s="392" t="s">
        <v>134</v>
      </c>
      <c r="F776" s="2"/>
      <c r="G776" s="10">
        <f>'Пр.4 ведом.21'!G1146</f>
        <v>4637.2</v>
      </c>
      <c r="H776" s="10">
        <f>'Пр.4 ведом.21'!H1146</f>
        <v>4637.1760000000004</v>
      </c>
      <c r="I776" s="389">
        <f t="shared" si="111"/>
        <v>99.999482446303816</v>
      </c>
    </row>
    <row r="777" spans="1:9" s="387" customFormat="1" ht="31.5" x14ac:dyDescent="0.25">
      <c r="A777" s="45" t="s">
        <v>623</v>
      </c>
      <c r="B777" s="392" t="s">
        <v>1598</v>
      </c>
      <c r="C777" s="399" t="s">
        <v>234</v>
      </c>
      <c r="D777" s="399" t="s">
        <v>215</v>
      </c>
      <c r="E777" s="392" t="s">
        <v>134</v>
      </c>
      <c r="F777" s="2">
        <v>908</v>
      </c>
      <c r="G777" s="10">
        <v>4637.2</v>
      </c>
      <c r="H777" s="10">
        <v>4637.2</v>
      </c>
      <c r="I777" s="389">
        <f t="shared" si="111"/>
        <v>100</v>
      </c>
    </row>
    <row r="778" spans="1:9" ht="39.75" customHeight="1" x14ac:dyDescent="0.25">
      <c r="A778" s="34" t="s">
        <v>1343</v>
      </c>
      <c r="B778" s="187" t="s">
        <v>182</v>
      </c>
      <c r="C778" s="7"/>
      <c r="D778" s="7"/>
      <c r="E778" s="7"/>
      <c r="F778" s="3"/>
      <c r="G778" s="59">
        <f>G779+G786</f>
        <v>19</v>
      </c>
      <c r="H778" s="59">
        <f>H779+H786</f>
        <v>0</v>
      </c>
      <c r="I778" s="492">
        <f t="shared" si="111"/>
        <v>0</v>
      </c>
    </row>
    <row r="779" spans="1:9" s="191" customFormat="1" ht="31.5" x14ac:dyDescent="0.25">
      <c r="A779" s="34" t="s">
        <v>1005</v>
      </c>
      <c r="B779" s="187" t="s">
        <v>876</v>
      </c>
      <c r="C779" s="7"/>
      <c r="D779" s="7"/>
      <c r="E779" s="7"/>
      <c r="F779" s="3"/>
      <c r="G779" s="59">
        <f>G780</f>
        <v>19</v>
      </c>
      <c r="H779" s="59">
        <f>H780</f>
        <v>0</v>
      </c>
      <c r="I779" s="492">
        <f t="shared" si="111"/>
        <v>0</v>
      </c>
    </row>
    <row r="780" spans="1:9" ht="15.75" x14ac:dyDescent="0.25">
      <c r="A780" s="29" t="s">
        <v>232</v>
      </c>
      <c r="B780" s="5" t="s">
        <v>876</v>
      </c>
      <c r="C780" s="399" t="s">
        <v>150</v>
      </c>
      <c r="D780" s="399"/>
      <c r="E780" s="399"/>
      <c r="F780" s="2"/>
      <c r="G780" s="10">
        <f t="shared" ref="G780:H783" si="119">G781</f>
        <v>19</v>
      </c>
      <c r="H780" s="10">
        <f t="shared" si="119"/>
        <v>0</v>
      </c>
      <c r="I780" s="389">
        <f t="shared" si="111"/>
        <v>0</v>
      </c>
    </row>
    <row r="781" spans="1:9" ht="15.75" x14ac:dyDescent="0.25">
      <c r="A781" s="29" t="s">
        <v>233</v>
      </c>
      <c r="B781" s="30" t="s">
        <v>876</v>
      </c>
      <c r="C781" s="399" t="s">
        <v>150</v>
      </c>
      <c r="D781" s="399" t="s">
        <v>234</v>
      </c>
      <c r="E781" s="399"/>
      <c r="F781" s="2"/>
      <c r="G781" s="10">
        <f>G782</f>
        <v>19</v>
      </c>
      <c r="H781" s="10">
        <f>H782</f>
        <v>0</v>
      </c>
      <c r="I781" s="389">
        <f t="shared" si="111"/>
        <v>0</v>
      </c>
    </row>
    <row r="782" spans="1:9" ht="31.5" x14ac:dyDescent="0.25">
      <c r="A782" s="396" t="s">
        <v>235</v>
      </c>
      <c r="B782" s="392" t="s">
        <v>897</v>
      </c>
      <c r="C782" s="399" t="s">
        <v>150</v>
      </c>
      <c r="D782" s="399" t="s">
        <v>234</v>
      </c>
      <c r="E782" s="399"/>
      <c r="F782" s="2"/>
      <c r="G782" s="10">
        <f t="shared" si="119"/>
        <v>19</v>
      </c>
      <c r="H782" s="10">
        <f t="shared" si="119"/>
        <v>0</v>
      </c>
      <c r="I782" s="389">
        <f t="shared" si="111"/>
        <v>0</v>
      </c>
    </row>
    <row r="783" spans="1:9" ht="15.75" x14ac:dyDescent="0.25">
      <c r="A783" s="29" t="s">
        <v>135</v>
      </c>
      <c r="B783" s="392" t="s">
        <v>897</v>
      </c>
      <c r="C783" s="399" t="s">
        <v>150</v>
      </c>
      <c r="D783" s="399" t="s">
        <v>234</v>
      </c>
      <c r="E783" s="399" t="s">
        <v>145</v>
      </c>
      <c r="F783" s="2"/>
      <c r="G783" s="10">
        <f t="shared" si="119"/>
        <v>19</v>
      </c>
      <c r="H783" s="10">
        <f t="shared" si="119"/>
        <v>0</v>
      </c>
      <c r="I783" s="389">
        <f t="shared" si="111"/>
        <v>0</v>
      </c>
    </row>
    <row r="784" spans="1:9" ht="47.25" x14ac:dyDescent="0.25">
      <c r="A784" s="29" t="s">
        <v>184</v>
      </c>
      <c r="B784" s="392" t="s">
        <v>897</v>
      </c>
      <c r="C784" s="399" t="s">
        <v>150</v>
      </c>
      <c r="D784" s="399" t="s">
        <v>234</v>
      </c>
      <c r="E784" s="399" t="s">
        <v>160</v>
      </c>
      <c r="F784" s="2"/>
      <c r="G784" s="10">
        <f>'Пр.4 ведом.21'!G220</f>
        <v>19</v>
      </c>
      <c r="H784" s="10">
        <f>'Пр.4 ведом.21'!H220</f>
        <v>0</v>
      </c>
      <c r="I784" s="389">
        <f t="shared" si="111"/>
        <v>0</v>
      </c>
    </row>
    <row r="785" spans="1:9" ht="23.25" customHeight="1" x14ac:dyDescent="0.25">
      <c r="A785" s="29" t="s">
        <v>148</v>
      </c>
      <c r="B785" s="392" t="s">
        <v>897</v>
      </c>
      <c r="C785" s="399" t="s">
        <v>150</v>
      </c>
      <c r="D785" s="399" t="s">
        <v>234</v>
      </c>
      <c r="E785" s="399" t="s">
        <v>160</v>
      </c>
      <c r="F785" s="2">
        <v>902</v>
      </c>
      <c r="G785" s="10">
        <f>G784</f>
        <v>19</v>
      </c>
      <c r="H785" s="10">
        <f>H784</f>
        <v>0</v>
      </c>
      <c r="I785" s="389">
        <f t="shared" ref="I785:I848" si="120">H785/G785*100</f>
        <v>0</v>
      </c>
    </row>
    <row r="786" spans="1:9" s="191" customFormat="1" ht="47.25" hidden="1" x14ac:dyDescent="0.25">
      <c r="A786" s="198" t="s">
        <v>1006</v>
      </c>
      <c r="B786" s="395" t="s">
        <v>878</v>
      </c>
      <c r="C786" s="399"/>
      <c r="D786" s="399"/>
      <c r="E786" s="399"/>
      <c r="F786" s="2"/>
      <c r="G786" s="10">
        <f t="shared" ref="G786:H790" si="121">G787</f>
        <v>0</v>
      </c>
      <c r="H786" s="10">
        <f t="shared" si="121"/>
        <v>0</v>
      </c>
      <c r="I786" s="389" t="e">
        <f t="shared" si="120"/>
        <v>#DIV/0!</v>
      </c>
    </row>
    <row r="787" spans="1:9" s="191" customFormat="1" ht="15.75" hidden="1" x14ac:dyDescent="0.25">
      <c r="A787" s="29" t="s">
        <v>232</v>
      </c>
      <c r="B787" s="392" t="s">
        <v>878</v>
      </c>
      <c r="C787" s="399" t="s">
        <v>150</v>
      </c>
      <c r="D787" s="399"/>
      <c r="E787" s="399"/>
      <c r="F787" s="2"/>
      <c r="G787" s="10">
        <f t="shared" si="121"/>
        <v>0</v>
      </c>
      <c r="H787" s="10">
        <f t="shared" si="121"/>
        <v>0</v>
      </c>
      <c r="I787" s="389" t="e">
        <f t="shared" si="120"/>
        <v>#DIV/0!</v>
      </c>
    </row>
    <row r="788" spans="1:9" s="191" customFormat="1" ht="15.75" hidden="1" x14ac:dyDescent="0.25">
      <c r="A788" s="29" t="s">
        <v>233</v>
      </c>
      <c r="B788" s="392" t="s">
        <v>878</v>
      </c>
      <c r="C788" s="399" t="s">
        <v>150</v>
      </c>
      <c r="D788" s="399" t="s">
        <v>234</v>
      </c>
      <c r="E788" s="399"/>
      <c r="F788" s="2"/>
      <c r="G788" s="10">
        <f t="shared" si="121"/>
        <v>0</v>
      </c>
      <c r="H788" s="10">
        <f t="shared" si="121"/>
        <v>0</v>
      </c>
      <c r="I788" s="389" t="e">
        <f t="shared" si="120"/>
        <v>#DIV/0!</v>
      </c>
    </row>
    <row r="789" spans="1:9" s="191" customFormat="1" ht="15.75" hidden="1" x14ac:dyDescent="0.25">
      <c r="A789" s="396" t="s">
        <v>877</v>
      </c>
      <c r="B789" s="5" t="s">
        <v>898</v>
      </c>
      <c r="C789" s="399" t="s">
        <v>150</v>
      </c>
      <c r="D789" s="399" t="s">
        <v>234</v>
      </c>
      <c r="E789" s="399"/>
      <c r="F789" s="2"/>
      <c r="G789" s="10">
        <f t="shared" si="121"/>
        <v>0</v>
      </c>
      <c r="H789" s="10">
        <f t="shared" si="121"/>
        <v>0</v>
      </c>
      <c r="I789" s="389" t="e">
        <f t="shared" si="120"/>
        <v>#DIV/0!</v>
      </c>
    </row>
    <row r="790" spans="1:9" s="191" customFormat="1" ht="15.75" hidden="1" x14ac:dyDescent="0.25">
      <c r="A790" s="29" t="s">
        <v>135</v>
      </c>
      <c r="B790" s="5" t="s">
        <v>898</v>
      </c>
      <c r="C790" s="399" t="s">
        <v>150</v>
      </c>
      <c r="D790" s="399" t="s">
        <v>234</v>
      </c>
      <c r="E790" s="399" t="s">
        <v>145</v>
      </c>
      <c r="F790" s="2"/>
      <c r="G790" s="10">
        <f t="shared" si="121"/>
        <v>0</v>
      </c>
      <c r="H790" s="10">
        <f t="shared" si="121"/>
        <v>0</v>
      </c>
      <c r="I790" s="389" t="e">
        <f t="shared" si="120"/>
        <v>#DIV/0!</v>
      </c>
    </row>
    <row r="791" spans="1:9" s="191" customFormat="1" ht="47.25" hidden="1" x14ac:dyDescent="0.25">
      <c r="A791" s="29" t="s">
        <v>184</v>
      </c>
      <c r="B791" s="5" t="s">
        <v>898</v>
      </c>
      <c r="C791" s="399" t="s">
        <v>150</v>
      </c>
      <c r="D791" s="399" t="s">
        <v>234</v>
      </c>
      <c r="E791" s="399" t="s">
        <v>160</v>
      </c>
      <c r="F791" s="2"/>
      <c r="G791" s="10">
        <f>'Пр.3 Рд,пр, ЦС,ВР 21'!F299</f>
        <v>0</v>
      </c>
      <c r="H791" s="10">
        <f>'Пр.3 Рд,пр, ЦС,ВР 21'!G299</f>
        <v>0</v>
      </c>
      <c r="I791" s="389" t="e">
        <f t="shared" si="120"/>
        <v>#DIV/0!</v>
      </c>
    </row>
    <row r="792" spans="1:9" s="191" customFormat="1" ht="19.5" hidden="1" customHeight="1" x14ac:dyDescent="0.25">
      <c r="A792" s="29" t="s">
        <v>148</v>
      </c>
      <c r="B792" s="5" t="s">
        <v>898</v>
      </c>
      <c r="C792" s="399" t="s">
        <v>150</v>
      </c>
      <c r="D792" s="399" t="s">
        <v>234</v>
      </c>
      <c r="E792" s="399" t="s">
        <v>160</v>
      </c>
      <c r="F792" s="2">
        <v>902</v>
      </c>
      <c r="G792" s="10">
        <f>G791</f>
        <v>0</v>
      </c>
      <c r="H792" s="10">
        <f>H791</f>
        <v>0</v>
      </c>
      <c r="I792" s="389" t="e">
        <f t="shared" si="120"/>
        <v>#DIV/0!</v>
      </c>
    </row>
    <row r="793" spans="1:9" ht="52.5" customHeight="1" x14ac:dyDescent="0.25">
      <c r="A793" s="400" t="s">
        <v>1508</v>
      </c>
      <c r="B793" s="7" t="s">
        <v>518</v>
      </c>
      <c r="C793" s="7"/>
      <c r="D793" s="7"/>
      <c r="E793" s="72"/>
      <c r="F793" s="3"/>
      <c r="G793" s="59">
        <f>G794+G801+G808+G815+G822+G829+G836+G843</f>
        <v>57060.592710000004</v>
      </c>
      <c r="H793" s="59">
        <f>H794+H801+H808+H815+H822+H829+H836+H843</f>
        <v>56962.98</v>
      </c>
      <c r="I793" s="492">
        <f t="shared" si="120"/>
        <v>99.828931482545059</v>
      </c>
    </row>
    <row r="794" spans="1:9" s="191" customFormat="1" ht="31.7" hidden="1" customHeight="1" x14ac:dyDescent="0.25">
      <c r="A794" s="394" t="s">
        <v>962</v>
      </c>
      <c r="B794" s="395" t="s">
        <v>964</v>
      </c>
      <c r="C794" s="399"/>
      <c r="D794" s="399"/>
      <c r="E794" s="399"/>
      <c r="F794" s="2"/>
      <c r="G794" s="59">
        <f>G795</f>
        <v>0</v>
      </c>
      <c r="H794" s="59">
        <f>H795</f>
        <v>0</v>
      </c>
      <c r="I794" s="492" t="e">
        <f t="shared" si="120"/>
        <v>#DIV/0!</v>
      </c>
    </row>
    <row r="795" spans="1:9" s="191" customFormat="1" ht="18" hidden="1" customHeight="1" x14ac:dyDescent="0.25">
      <c r="A795" s="29" t="s">
        <v>390</v>
      </c>
      <c r="B795" s="399" t="s">
        <v>964</v>
      </c>
      <c r="C795" s="399" t="s">
        <v>234</v>
      </c>
      <c r="D795" s="399"/>
      <c r="E795" s="73"/>
      <c r="F795" s="2"/>
      <c r="G795" s="10">
        <f t="shared" ref="G795:H795" si="122">G796</f>
        <v>0</v>
      </c>
      <c r="H795" s="10">
        <f t="shared" si="122"/>
        <v>0</v>
      </c>
      <c r="I795" s="492" t="e">
        <f t="shared" si="120"/>
        <v>#DIV/0!</v>
      </c>
    </row>
    <row r="796" spans="1:9" s="191" customFormat="1" ht="19.5" hidden="1" customHeight="1" x14ac:dyDescent="0.25">
      <c r="A796" s="29" t="s">
        <v>517</v>
      </c>
      <c r="B796" s="399" t="s">
        <v>964</v>
      </c>
      <c r="C796" s="399" t="s">
        <v>234</v>
      </c>
      <c r="D796" s="399" t="s">
        <v>213</v>
      </c>
      <c r="E796" s="73"/>
      <c r="F796" s="2"/>
      <c r="G796" s="10">
        <f>G797</f>
        <v>0</v>
      </c>
      <c r="H796" s="10">
        <f>H797</f>
        <v>0</v>
      </c>
      <c r="I796" s="492" t="e">
        <f t="shared" si="120"/>
        <v>#DIV/0!</v>
      </c>
    </row>
    <row r="797" spans="1:9" ht="15.75" hidden="1" x14ac:dyDescent="0.25">
      <c r="A797" s="45" t="s">
        <v>521</v>
      </c>
      <c r="B797" s="392" t="s">
        <v>965</v>
      </c>
      <c r="C797" s="399" t="s">
        <v>234</v>
      </c>
      <c r="D797" s="399" t="s">
        <v>213</v>
      </c>
      <c r="E797" s="399"/>
      <c r="F797" s="2"/>
      <c r="G797" s="10">
        <f t="shared" ref="G797:H798" si="123">G798</f>
        <v>0</v>
      </c>
      <c r="H797" s="10">
        <f t="shared" si="123"/>
        <v>0</v>
      </c>
      <c r="I797" s="492" t="e">
        <f t="shared" si="120"/>
        <v>#DIV/0!</v>
      </c>
    </row>
    <row r="798" spans="1:9" ht="31.5" hidden="1" x14ac:dyDescent="0.25">
      <c r="A798" s="31" t="s">
        <v>131</v>
      </c>
      <c r="B798" s="392" t="s">
        <v>965</v>
      </c>
      <c r="C798" s="399" t="s">
        <v>234</v>
      </c>
      <c r="D798" s="399" t="s">
        <v>213</v>
      </c>
      <c r="E798" s="399" t="s">
        <v>132</v>
      </c>
      <c r="F798" s="2"/>
      <c r="G798" s="10">
        <f t="shared" si="123"/>
        <v>0</v>
      </c>
      <c r="H798" s="10">
        <f t="shared" si="123"/>
        <v>0</v>
      </c>
      <c r="I798" s="492" t="e">
        <f t="shared" si="120"/>
        <v>#DIV/0!</v>
      </c>
    </row>
    <row r="799" spans="1:9" ht="31.5" hidden="1" x14ac:dyDescent="0.25">
      <c r="A799" s="31" t="s">
        <v>133</v>
      </c>
      <c r="B799" s="392" t="s">
        <v>965</v>
      </c>
      <c r="C799" s="399" t="s">
        <v>234</v>
      </c>
      <c r="D799" s="399" t="s">
        <v>213</v>
      </c>
      <c r="E799" s="399" t="s">
        <v>134</v>
      </c>
      <c r="F799" s="2"/>
      <c r="G799" s="10">
        <f>'Пр.3 Рд,пр, ЦС,ВР 21'!F404</f>
        <v>0</v>
      </c>
      <c r="H799" s="10">
        <f>'Пр.3 Рд,пр, ЦС,ВР 21'!G404</f>
        <v>0</v>
      </c>
      <c r="I799" s="492" t="e">
        <f t="shared" si="120"/>
        <v>#DIV/0!</v>
      </c>
    </row>
    <row r="800" spans="1:9" s="191" customFormat="1" ht="36.75" hidden="1" customHeight="1" x14ac:dyDescent="0.25">
      <c r="A800" s="45" t="s">
        <v>623</v>
      </c>
      <c r="B800" s="392" t="s">
        <v>965</v>
      </c>
      <c r="C800" s="399" t="s">
        <v>234</v>
      </c>
      <c r="D800" s="399" t="s">
        <v>213</v>
      </c>
      <c r="E800" s="399" t="s">
        <v>134</v>
      </c>
      <c r="F800" s="2">
        <v>908</v>
      </c>
      <c r="G800" s="389">
        <f>G799</f>
        <v>0</v>
      </c>
      <c r="H800" s="389">
        <f>H799</f>
        <v>0</v>
      </c>
      <c r="I800" s="492" t="e">
        <f t="shared" si="120"/>
        <v>#DIV/0!</v>
      </c>
    </row>
    <row r="801" spans="1:9" s="191" customFormat="1" ht="31.5" x14ac:dyDescent="0.25">
      <c r="A801" s="34" t="s">
        <v>966</v>
      </c>
      <c r="B801" s="395" t="s">
        <v>967</v>
      </c>
      <c r="C801" s="399"/>
      <c r="D801" s="399"/>
      <c r="E801" s="399"/>
      <c r="F801" s="2"/>
      <c r="G801" s="59">
        <f>G802</f>
        <v>390</v>
      </c>
      <c r="H801" s="59">
        <f>H802</f>
        <v>389.95100000000002</v>
      </c>
      <c r="I801" s="492">
        <f t="shared" si="120"/>
        <v>99.987435897435901</v>
      </c>
    </row>
    <row r="802" spans="1:9" s="191" customFormat="1" ht="15.75" x14ac:dyDescent="0.25">
      <c r="A802" s="29" t="s">
        <v>390</v>
      </c>
      <c r="B802" s="399" t="s">
        <v>967</v>
      </c>
      <c r="C802" s="399" t="s">
        <v>234</v>
      </c>
      <c r="D802" s="399"/>
      <c r="E802" s="73"/>
      <c r="F802" s="2"/>
      <c r="G802" s="10">
        <f t="shared" ref="G802:H802" si="124">G803</f>
        <v>390</v>
      </c>
      <c r="H802" s="10">
        <f t="shared" si="124"/>
        <v>389.95100000000002</v>
      </c>
      <c r="I802" s="389">
        <f t="shared" si="120"/>
        <v>99.987435897435901</v>
      </c>
    </row>
    <row r="803" spans="1:9" s="191" customFormat="1" ht="15.75" x14ac:dyDescent="0.25">
      <c r="A803" s="29" t="s">
        <v>517</v>
      </c>
      <c r="B803" s="399" t="s">
        <v>967</v>
      </c>
      <c r="C803" s="399" t="s">
        <v>234</v>
      </c>
      <c r="D803" s="399" t="s">
        <v>213</v>
      </c>
      <c r="E803" s="73"/>
      <c r="F803" s="2"/>
      <c r="G803" s="10">
        <f>G804</f>
        <v>390</v>
      </c>
      <c r="H803" s="10">
        <f>H804</f>
        <v>389.95100000000002</v>
      </c>
      <c r="I803" s="389">
        <f t="shared" si="120"/>
        <v>99.987435897435901</v>
      </c>
    </row>
    <row r="804" spans="1:9" ht="15.75" customHeight="1" x14ac:dyDescent="0.25">
      <c r="A804" s="45" t="s">
        <v>523</v>
      </c>
      <c r="B804" s="392" t="s">
        <v>970</v>
      </c>
      <c r="C804" s="399" t="s">
        <v>234</v>
      </c>
      <c r="D804" s="399" t="s">
        <v>213</v>
      </c>
      <c r="E804" s="399"/>
      <c r="F804" s="2"/>
      <c r="G804" s="10">
        <f>G805</f>
        <v>390</v>
      </c>
      <c r="H804" s="10">
        <f>H805</f>
        <v>389.95100000000002</v>
      </c>
      <c r="I804" s="389">
        <f t="shared" si="120"/>
        <v>99.987435897435901</v>
      </c>
    </row>
    <row r="805" spans="1:9" ht="31.7" customHeight="1" x14ac:dyDescent="0.25">
      <c r="A805" s="31" t="s">
        <v>131</v>
      </c>
      <c r="B805" s="392" t="s">
        <v>970</v>
      </c>
      <c r="C805" s="399" t="s">
        <v>234</v>
      </c>
      <c r="D805" s="399" t="s">
        <v>213</v>
      </c>
      <c r="E805" s="399" t="s">
        <v>132</v>
      </c>
      <c r="F805" s="2"/>
      <c r="G805" s="10">
        <f t="shared" ref="G805:H805" si="125">G806</f>
        <v>390</v>
      </c>
      <c r="H805" s="10">
        <f t="shared" si="125"/>
        <v>389.95100000000002</v>
      </c>
      <c r="I805" s="389">
        <f t="shared" si="120"/>
        <v>99.987435897435901</v>
      </c>
    </row>
    <row r="806" spans="1:9" ht="31.7" customHeight="1" x14ac:dyDescent="0.25">
      <c r="A806" s="31" t="s">
        <v>133</v>
      </c>
      <c r="B806" s="392" t="s">
        <v>970</v>
      </c>
      <c r="C806" s="399" t="s">
        <v>234</v>
      </c>
      <c r="D806" s="399" t="s">
        <v>213</v>
      </c>
      <c r="E806" s="399" t="s">
        <v>134</v>
      </c>
      <c r="F806" s="2"/>
      <c r="G806" s="10">
        <f>'Пр.3 Рд,пр, ЦС,ВР 21'!F408</f>
        <v>390</v>
      </c>
      <c r="H806" s="10">
        <f>'Пр.3 Рд,пр, ЦС,ВР 21'!G408</f>
        <v>389.95100000000002</v>
      </c>
      <c r="I806" s="389">
        <f t="shared" si="120"/>
        <v>99.987435897435901</v>
      </c>
    </row>
    <row r="807" spans="1:9" s="191" customFormat="1" ht="31.7" customHeight="1" x14ac:dyDescent="0.25">
      <c r="A807" s="45" t="s">
        <v>623</v>
      </c>
      <c r="B807" s="392" t="s">
        <v>970</v>
      </c>
      <c r="C807" s="399" t="s">
        <v>234</v>
      </c>
      <c r="D807" s="399" t="s">
        <v>213</v>
      </c>
      <c r="E807" s="399" t="s">
        <v>134</v>
      </c>
      <c r="F807" s="2">
        <v>908</v>
      </c>
      <c r="G807" s="389">
        <f>G806</f>
        <v>390</v>
      </c>
      <c r="H807" s="389">
        <f>H806</f>
        <v>389.95100000000002</v>
      </c>
      <c r="I807" s="389">
        <f t="shared" si="120"/>
        <v>99.987435897435901</v>
      </c>
    </row>
    <row r="808" spans="1:9" s="191" customFormat="1" ht="35.450000000000003" hidden="1" customHeight="1" x14ac:dyDescent="0.25">
      <c r="A808" s="58" t="s">
        <v>968</v>
      </c>
      <c r="B808" s="395" t="s">
        <v>969</v>
      </c>
      <c r="C808" s="399"/>
      <c r="D808" s="399"/>
      <c r="E808" s="399"/>
      <c r="F808" s="2"/>
      <c r="G808" s="59">
        <f>G809</f>
        <v>0</v>
      </c>
      <c r="H808" s="59">
        <f>H809</f>
        <v>0</v>
      </c>
      <c r="I808" s="389" t="e">
        <f t="shared" si="120"/>
        <v>#DIV/0!</v>
      </c>
    </row>
    <row r="809" spans="1:9" s="191" customFormat="1" ht="15.75" hidden="1" customHeight="1" x14ac:dyDescent="0.25">
      <c r="A809" s="29" t="s">
        <v>390</v>
      </c>
      <c r="B809" s="399" t="s">
        <v>969</v>
      </c>
      <c r="C809" s="399" t="s">
        <v>234</v>
      </c>
      <c r="D809" s="399"/>
      <c r="E809" s="73"/>
      <c r="F809" s="2"/>
      <c r="G809" s="10">
        <f t="shared" ref="G809:H809" si="126">G810</f>
        <v>0</v>
      </c>
      <c r="H809" s="10">
        <f t="shared" si="126"/>
        <v>0</v>
      </c>
      <c r="I809" s="389" t="e">
        <f t="shared" si="120"/>
        <v>#DIV/0!</v>
      </c>
    </row>
    <row r="810" spans="1:9" s="191" customFormat="1" ht="15.75" hidden="1" customHeight="1" x14ac:dyDescent="0.25">
      <c r="A810" s="29" t="s">
        <v>517</v>
      </c>
      <c r="B810" s="399" t="s">
        <v>969</v>
      </c>
      <c r="C810" s="399" t="s">
        <v>234</v>
      </c>
      <c r="D810" s="399" t="s">
        <v>213</v>
      </c>
      <c r="E810" s="73"/>
      <c r="F810" s="2"/>
      <c r="G810" s="10">
        <f>G811</f>
        <v>0</v>
      </c>
      <c r="H810" s="10">
        <f>H811</f>
        <v>0</v>
      </c>
      <c r="I810" s="389" t="e">
        <f t="shared" si="120"/>
        <v>#DIV/0!</v>
      </c>
    </row>
    <row r="811" spans="1:9" ht="15.75" hidden="1" customHeight="1" x14ac:dyDescent="0.25">
      <c r="A811" s="45" t="s">
        <v>525</v>
      </c>
      <c r="B811" s="392" t="s">
        <v>971</v>
      </c>
      <c r="C811" s="399" t="s">
        <v>234</v>
      </c>
      <c r="D811" s="399" t="s">
        <v>213</v>
      </c>
      <c r="E811" s="399"/>
      <c r="F811" s="2"/>
      <c r="G811" s="10">
        <f>G812</f>
        <v>0</v>
      </c>
      <c r="H811" s="10">
        <f>H812</f>
        <v>0</v>
      </c>
      <c r="I811" s="389" t="e">
        <f t="shared" si="120"/>
        <v>#DIV/0!</v>
      </c>
    </row>
    <row r="812" spans="1:9" ht="31.7" hidden="1" customHeight="1" x14ac:dyDescent="0.25">
      <c r="A812" s="31" t="s">
        <v>131</v>
      </c>
      <c r="B812" s="392" t="s">
        <v>971</v>
      </c>
      <c r="C812" s="399" t="s">
        <v>234</v>
      </c>
      <c r="D812" s="399" t="s">
        <v>213</v>
      </c>
      <c r="E812" s="399" t="s">
        <v>132</v>
      </c>
      <c r="F812" s="2"/>
      <c r="G812" s="10">
        <f t="shared" ref="G812:H812" si="127">G813</f>
        <v>0</v>
      </c>
      <c r="H812" s="10">
        <f t="shared" si="127"/>
        <v>0</v>
      </c>
      <c r="I812" s="389" t="e">
        <f t="shared" si="120"/>
        <v>#DIV/0!</v>
      </c>
    </row>
    <row r="813" spans="1:9" ht="31.7" hidden="1" customHeight="1" x14ac:dyDescent="0.25">
      <c r="A813" s="31" t="s">
        <v>133</v>
      </c>
      <c r="B813" s="392" t="s">
        <v>971</v>
      </c>
      <c r="C813" s="399" t="s">
        <v>234</v>
      </c>
      <c r="D813" s="399" t="s">
        <v>213</v>
      </c>
      <c r="E813" s="399" t="s">
        <v>134</v>
      </c>
      <c r="F813" s="2"/>
      <c r="G813" s="10">
        <f>'Пр.3 Рд,пр, ЦС,ВР 21'!F412</f>
        <v>0</v>
      </c>
      <c r="H813" s="10">
        <f>'Пр.3 Рд,пр, ЦС,ВР 21'!G412</f>
        <v>0</v>
      </c>
      <c r="I813" s="389" t="e">
        <f t="shared" si="120"/>
        <v>#DIV/0!</v>
      </c>
    </row>
    <row r="814" spans="1:9" s="191" customFormat="1" ht="31.7" hidden="1" customHeight="1" x14ac:dyDescent="0.25">
      <c r="A814" s="45" t="s">
        <v>623</v>
      </c>
      <c r="B814" s="392" t="s">
        <v>971</v>
      </c>
      <c r="C814" s="399" t="s">
        <v>234</v>
      </c>
      <c r="D814" s="399" t="s">
        <v>213</v>
      </c>
      <c r="E814" s="399" t="s">
        <v>134</v>
      </c>
      <c r="F814" s="2">
        <v>908</v>
      </c>
      <c r="G814" s="389">
        <f>G813</f>
        <v>0</v>
      </c>
      <c r="H814" s="389">
        <f>H813</f>
        <v>0</v>
      </c>
      <c r="I814" s="389" t="e">
        <f t="shared" si="120"/>
        <v>#DIV/0!</v>
      </c>
    </row>
    <row r="815" spans="1:9" s="191" customFormat="1" ht="35.450000000000003" customHeight="1" x14ac:dyDescent="0.25">
      <c r="A815" s="58" t="s">
        <v>972</v>
      </c>
      <c r="B815" s="395" t="s">
        <v>973</v>
      </c>
      <c r="C815" s="399"/>
      <c r="D815" s="399"/>
      <c r="E815" s="399"/>
      <c r="F815" s="2"/>
      <c r="G815" s="59">
        <f t="shared" ref="G815:H817" si="128">G816</f>
        <v>261.7</v>
      </c>
      <c r="H815" s="59">
        <f t="shared" si="128"/>
        <v>260.791</v>
      </c>
      <c r="I815" s="492">
        <f t="shared" si="120"/>
        <v>99.65265571264807</v>
      </c>
    </row>
    <row r="816" spans="1:9" s="191" customFormat="1" ht="15.75" customHeight="1" x14ac:dyDescent="0.25">
      <c r="A816" s="29" t="s">
        <v>390</v>
      </c>
      <c r="B816" s="399" t="s">
        <v>973</v>
      </c>
      <c r="C816" s="399" t="s">
        <v>234</v>
      </c>
      <c r="D816" s="399"/>
      <c r="E816" s="73"/>
      <c r="F816" s="2"/>
      <c r="G816" s="10">
        <f t="shared" si="128"/>
        <v>261.7</v>
      </c>
      <c r="H816" s="10">
        <f t="shared" si="128"/>
        <v>260.791</v>
      </c>
      <c r="I816" s="389">
        <f t="shared" si="120"/>
        <v>99.65265571264807</v>
      </c>
    </row>
    <row r="817" spans="1:9" s="191" customFormat="1" ht="15.75" customHeight="1" x14ac:dyDescent="0.25">
      <c r="A817" s="29" t="s">
        <v>517</v>
      </c>
      <c r="B817" s="399" t="s">
        <v>973</v>
      </c>
      <c r="C817" s="399" t="s">
        <v>234</v>
      </c>
      <c r="D817" s="399" t="s">
        <v>213</v>
      </c>
      <c r="E817" s="73"/>
      <c r="F817" s="2"/>
      <c r="G817" s="10">
        <f t="shared" si="128"/>
        <v>261.7</v>
      </c>
      <c r="H817" s="10">
        <f t="shared" si="128"/>
        <v>260.791</v>
      </c>
      <c r="I817" s="389">
        <f t="shared" si="120"/>
        <v>99.65265571264807</v>
      </c>
    </row>
    <row r="818" spans="1:9" ht="15.75" x14ac:dyDescent="0.25">
      <c r="A818" s="45" t="s">
        <v>527</v>
      </c>
      <c r="B818" s="392" t="s">
        <v>974</v>
      </c>
      <c r="C818" s="399" t="s">
        <v>234</v>
      </c>
      <c r="D818" s="399" t="s">
        <v>213</v>
      </c>
      <c r="E818" s="399"/>
      <c r="F818" s="2"/>
      <c r="G818" s="10">
        <f t="shared" ref="G818:H819" si="129">G819</f>
        <v>261.7</v>
      </c>
      <c r="H818" s="10">
        <f t="shared" si="129"/>
        <v>260.791</v>
      </c>
      <c r="I818" s="389">
        <f t="shared" si="120"/>
        <v>99.65265571264807</v>
      </c>
    </row>
    <row r="819" spans="1:9" ht="31.5" x14ac:dyDescent="0.25">
      <c r="A819" s="31" t="s">
        <v>131</v>
      </c>
      <c r="B819" s="392" t="s">
        <v>974</v>
      </c>
      <c r="C819" s="399" t="s">
        <v>234</v>
      </c>
      <c r="D819" s="399" t="s">
        <v>213</v>
      </c>
      <c r="E819" s="399" t="s">
        <v>132</v>
      </c>
      <c r="F819" s="2"/>
      <c r="G819" s="10">
        <f t="shared" si="129"/>
        <v>261.7</v>
      </c>
      <c r="H819" s="10">
        <f t="shared" si="129"/>
        <v>260.791</v>
      </c>
      <c r="I819" s="389">
        <f t="shared" si="120"/>
        <v>99.65265571264807</v>
      </c>
    </row>
    <row r="820" spans="1:9" ht="31.5" x14ac:dyDescent="0.25">
      <c r="A820" s="31" t="s">
        <v>133</v>
      </c>
      <c r="B820" s="392" t="s">
        <v>974</v>
      </c>
      <c r="C820" s="399" t="s">
        <v>234</v>
      </c>
      <c r="D820" s="399" t="s">
        <v>213</v>
      </c>
      <c r="E820" s="399" t="s">
        <v>134</v>
      </c>
      <c r="F820" s="2"/>
      <c r="G820" s="10">
        <f>'Пр.3 Рд,пр, ЦС,ВР 21'!F416</f>
        <v>261.7</v>
      </c>
      <c r="H820" s="10">
        <f>'Пр.3 Рд,пр, ЦС,ВР 21'!G416</f>
        <v>260.791</v>
      </c>
      <c r="I820" s="389">
        <f t="shared" si="120"/>
        <v>99.65265571264807</v>
      </c>
    </row>
    <row r="821" spans="1:9" s="191" customFormat="1" ht="39.200000000000003" customHeight="1" x14ac:dyDescent="0.25">
      <c r="A821" s="45" t="s">
        <v>623</v>
      </c>
      <c r="B821" s="392" t="s">
        <v>974</v>
      </c>
      <c r="C821" s="399" t="s">
        <v>234</v>
      </c>
      <c r="D821" s="399" t="s">
        <v>213</v>
      </c>
      <c r="E821" s="399" t="s">
        <v>134</v>
      </c>
      <c r="F821" s="2">
        <v>908</v>
      </c>
      <c r="G821" s="389">
        <f>G820</f>
        <v>261.7</v>
      </c>
      <c r="H821" s="389">
        <f>H820</f>
        <v>260.791</v>
      </c>
      <c r="I821" s="389">
        <f t="shared" si="120"/>
        <v>99.65265571264807</v>
      </c>
    </row>
    <row r="822" spans="1:9" s="191" customFormat="1" ht="31.5" x14ac:dyDescent="0.25">
      <c r="A822" s="34" t="s">
        <v>1013</v>
      </c>
      <c r="B822" s="395" t="s">
        <v>1014</v>
      </c>
      <c r="C822" s="399"/>
      <c r="D822" s="399"/>
      <c r="E822" s="399"/>
      <c r="F822" s="2"/>
      <c r="G822" s="59">
        <f>G823</f>
        <v>30.3</v>
      </c>
      <c r="H822" s="59">
        <f>H823</f>
        <v>30.29</v>
      </c>
      <c r="I822" s="389">
        <f t="shared" si="120"/>
        <v>99.966996699669963</v>
      </c>
    </row>
    <row r="823" spans="1:9" s="191" customFormat="1" ht="15.75" x14ac:dyDescent="0.25">
      <c r="A823" s="29" t="s">
        <v>390</v>
      </c>
      <c r="B823" s="399" t="s">
        <v>518</v>
      </c>
      <c r="C823" s="399" t="s">
        <v>234</v>
      </c>
      <c r="D823" s="399"/>
      <c r="E823" s="73"/>
      <c r="F823" s="2"/>
      <c r="G823" s="10">
        <f t="shared" ref="G823:H823" si="130">G824</f>
        <v>30.3</v>
      </c>
      <c r="H823" s="10">
        <f t="shared" si="130"/>
        <v>30.29</v>
      </c>
      <c r="I823" s="389">
        <f t="shared" si="120"/>
        <v>99.966996699669963</v>
      </c>
    </row>
    <row r="824" spans="1:9" s="191" customFormat="1" ht="15.75" x14ac:dyDescent="0.25">
      <c r="A824" s="29" t="s">
        <v>517</v>
      </c>
      <c r="B824" s="399" t="s">
        <v>518</v>
      </c>
      <c r="C824" s="399" t="s">
        <v>234</v>
      </c>
      <c r="D824" s="399" t="s">
        <v>213</v>
      </c>
      <c r="E824" s="73"/>
      <c r="F824" s="2"/>
      <c r="G824" s="10">
        <f>G825</f>
        <v>30.3</v>
      </c>
      <c r="H824" s="10">
        <f>H825</f>
        <v>30.29</v>
      </c>
      <c r="I824" s="389">
        <f t="shared" si="120"/>
        <v>99.966996699669963</v>
      </c>
    </row>
    <row r="825" spans="1:9" ht="15.75" customHeight="1" x14ac:dyDescent="0.25">
      <c r="A825" s="45" t="s">
        <v>529</v>
      </c>
      <c r="B825" s="392" t="s">
        <v>1017</v>
      </c>
      <c r="C825" s="399" t="s">
        <v>234</v>
      </c>
      <c r="D825" s="399" t="s">
        <v>213</v>
      </c>
      <c r="E825" s="399"/>
      <c r="F825" s="2"/>
      <c r="G825" s="10">
        <f t="shared" ref="G825:H826" si="131">G826</f>
        <v>30.3</v>
      </c>
      <c r="H825" s="10">
        <f t="shared" si="131"/>
        <v>30.29</v>
      </c>
      <c r="I825" s="389">
        <f t="shared" si="120"/>
        <v>99.966996699669963</v>
      </c>
    </row>
    <row r="826" spans="1:9" ht="31.7" customHeight="1" x14ac:dyDescent="0.25">
      <c r="A826" s="31" t="s">
        <v>131</v>
      </c>
      <c r="B826" s="392" t="s">
        <v>1017</v>
      </c>
      <c r="C826" s="399" t="s">
        <v>234</v>
      </c>
      <c r="D826" s="399" t="s">
        <v>213</v>
      </c>
      <c r="E826" s="399" t="s">
        <v>132</v>
      </c>
      <c r="F826" s="2"/>
      <c r="G826" s="10">
        <f t="shared" si="131"/>
        <v>30.3</v>
      </c>
      <c r="H826" s="10">
        <f t="shared" si="131"/>
        <v>30.29</v>
      </c>
      <c r="I826" s="389">
        <f t="shared" si="120"/>
        <v>99.966996699669963</v>
      </c>
    </row>
    <row r="827" spans="1:9" ht="31.7" customHeight="1" x14ac:dyDescent="0.25">
      <c r="A827" s="31" t="s">
        <v>133</v>
      </c>
      <c r="B827" s="392" t="s">
        <v>1017</v>
      </c>
      <c r="C827" s="399" t="s">
        <v>234</v>
      </c>
      <c r="D827" s="399" t="s">
        <v>213</v>
      </c>
      <c r="E827" s="399" t="s">
        <v>134</v>
      </c>
      <c r="F827" s="2"/>
      <c r="G827" s="10">
        <f>'Пр.3 Рд,пр, ЦС,ВР 21'!F420</f>
        <v>30.3</v>
      </c>
      <c r="H827" s="10">
        <f>'Пр.3 Рд,пр, ЦС,ВР 21'!G420</f>
        <v>30.29</v>
      </c>
      <c r="I827" s="389">
        <f t="shared" si="120"/>
        <v>99.966996699669963</v>
      </c>
    </row>
    <row r="828" spans="1:9" s="191" customFormat="1" ht="31.7" customHeight="1" x14ac:dyDescent="0.25">
      <c r="A828" s="45" t="s">
        <v>623</v>
      </c>
      <c r="B828" s="392" t="s">
        <v>1017</v>
      </c>
      <c r="C828" s="399" t="s">
        <v>234</v>
      </c>
      <c r="D828" s="399" t="s">
        <v>213</v>
      </c>
      <c r="E828" s="399" t="s">
        <v>134</v>
      </c>
      <c r="F828" s="2">
        <v>908</v>
      </c>
      <c r="G828" s="389">
        <f>G827</f>
        <v>30.3</v>
      </c>
      <c r="H828" s="389">
        <f>H827</f>
        <v>30.29</v>
      </c>
      <c r="I828" s="389">
        <f t="shared" si="120"/>
        <v>99.966996699669963</v>
      </c>
    </row>
    <row r="829" spans="1:9" s="191" customFormat="1" ht="31.7" hidden="1" customHeight="1" x14ac:dyDescent="0.25">
      <c r="A829" s="204" t="s">
        <v>1015</v>
      </c>
      <c r="B829" s="395" t="s">
        <v>1016</v>
      </c>
      <c r="C829" s="399"/>
      <c r="D829" s="399"/>
      <c r="E829" s="399"/>
      <c r="F829" s="2"/>
      <c r="G829" s="59">
        <f>G830</f>
        <v>0</v>
      </c>
      <c r="H829" s="59">
        <f>H830</f>
        <v>0</v>
      </c>
      <c r="I829" s="389" t="e">
        <f t="shared" si="120"/>
        <v>#DIV/0!</v>
      </c>
    </row>
    <row r="830" spans="1:9" s="191" customFormat="1" ht="16.5" hidden="1" customHeight="1" x14ac:dyDescent="0.25">
      <c r="A830" s="29" t="s">
        <v>390</v>
      </c>
      <c r="B830" s="399" t="s">
        <v>518</v>
      </c>
      <c r="C830" s="399" t="s">
        <v>234</v>
      </c>
      <c r="D830" s="399"/>
      <c r="E830" s="73"/>
      <c r="F830" s="2"/>
      <c r="G830" s="10">
        <f t="shared" ref="G830:H830" si="132">G831</f>
        <v>0</v>
      </c>
      <c r="H830" s="10">
        <f t="shared" si="132"/>
        <v>0</v>
      </c>
      <c r="I830" s="389" t="e">
        <f t="shared" si="120"/>
        <v>#DIV/0!</v>
      </c>
    </row>
    <row r="831" spans="1:9" s="191" customFormat="1" ht="19.5" hidden="1" customHeight="1" x14ac:dyDescent="0.25">
      <c r="A831" s="29" t="s">
        <v>517</v>
      </c>
      <c r="B831" s="399" t="s">
        <v>518</v>
      </c>
      <c r="C831" s="399" t="s">
        <v>234</v>
      </c>
      <c r="D831" s="399" t="s">
        <v>213</v>
      </c>
      <c r="E831" s="73"/>
      <c r="F831" s="2"/>
      <c r="G831" s="10">
        <f>G832</f>
        <v>0</v>
      </c>
      <c r="H831" s="10">
        <f>H832</f>
        <v>0</v>
      </c>
      <c r="I831" s="389" t="e">
        <f t="shared" si="120"/>
        <v>#DIV/0!</v>
      </c>
    </row>
    <row r="832" spans="1:9" ht="31.7" hidden="1" customHeight="1" x14ac:dyDescent="0.25">
      <c r="A832" s="172" t="s">
        <v>531</v>
      </c>
      <c r="B832" s="392" t="s">
        <v>1018</v>
      </c>
      <c r="C832" s="399" t="s">
        <v>234</v>
      </c>
      <c r="D832" s="399" t="s">
        <v>213</v>
      </c>
      <c r="E832" s="399"/>
      <c r="F832" s="2"/>
      <c r="G832" s="10">
        <f t="shared" ref="G832:H833" si="133">G833</f>
        <v>0</v>
      </c>
      <c r="H832" s="10">
        <f t="shared" si="133"/>
        <v>0</v>
      </c>
      <c r="I832" s="389" t="e">
        <f t="shared" si="120"/>
        <v>#DIV/0!</v>
      </c>
    </row>
    <row r="833" spans="1:9" ht="31.7" hidden="1" customHeight="1" x14ac:dyDescent="0.25">
      <c r="A833" s="31" t="s">
        <v>131</v>
      </c>
      <c r="B833" s="392" t="s">
        <v>1018</v>
      </c>
      <c r="C833" s="399" t="s">
        <v>234</v>
      </c>
      <c r="D833" s="399" t="s">
        <v>213</v>
      </c>
      <c r="E833" s="399" t="s">
        <v>132</v>
      </c>
      <c r="F833" s="2"/>
      <c r="G833" s="10">
        <f t="shared" si="133"/>
        <v>0</v>
      </c>
      <c r="H833" s="10">
        <f t="shared" si="133"/>
        <v>0</v>
      </c>
      <c r="I833" s="389" t="e">
        <f t="shared" si="120"/>
        <v>#DIV/0!</v>
      </c>
    </row>
    <row r="834" spans="1:9" ht="31.7" hidden="1" customHeight="1" x14ac:dyDescent="0.25">
      <c r="A834" s="31" t="s">
        <v>133</v>
      </c>
      <c r="B834" s="392" t="s">
        <v>1018</v>
      </c>
      <c r="C834" s="399" t="s">
        <v>234</v>
      </c>
      <c r="D834" s="399" t="s">
        <v>213</v>
      </c>
      <c r="E834" s="399" t="s">
        <v>134</v>
      </c>
      <c r="F834" s="2"/>
      <c r="G834" s="10">
        <f>'Пр.3 Рд,пр, ЦС,ВР 21'!F424</f>
        <v>0</v>
      </c>
      <c r="H834" s="10">
        <f>'Пр.3 Рд,пр, ЦС,ВР 21'!G424</f>
        <v>0</v>
      </c>
      <c r="I834" s="389" t="e">
        <f t="shared" si="120"/>
        <v>#DIV/0!</v>
      </c>
    </row>
    <row r="835" spans="1:9" s="191" customFormat="1" ht="31.7" hidden="1" customHeight="1" x14ac:dyDescent="0.25">
      <c r="A835" s="45" t="s">
        <v>623</v>
      </c>
      <c r="B835" s="392" t="s">
        <v>1018</v>
      </c>
      <c r="C835" s="399" t="s">
        <v>234</v>
      </c>
      <c r="D835" s="399" t="s">
        <v>213</v>
      </c>
      <c r="E835" s="399" t="s">
        <v>134</v>
      </c>
      <c r="F835" s="2">
        <v>908</v>
      </c>
      <c r="G835" s="389">
        <f>G834</f>
        <v>0</v>
      </c>
      <c r="H835" s="389">
        <f>H834</f>
        <v>0</v>
      </c>
      <c r="I835" s="389" t="e">
        <f t="shared" si="120"/>
        <v>#DIV/0!</v>
      </c>
    </row>
    <row r="836" spans="1:9" s="191" customFormat="1" ht="31.7" customHeight="1" x14ac:dyDescent="0.25">
      <c r="A836" s="204" t="s">
        <v>976</v>
      </c>
      <c r="B836" s="395" t="s">
        <v>977</v>
      </c>
      <c r="C836" s="399"/>
      <c r="D836" s="399"/>
      <c r="E836" s="399"/>
      <c r="F836" s="2"/>
      <c r="G836" s="59">
        <f t="shared" ref="G836:H838" si="134">G837</f>
        <v>193.3</v>
      </c>
      <c r="H836" s="59">
        <f t="shared" si="134"/>
        <v>193.23</v>
      </c>
      <c r="I836" s="492">
        <f t="shared" si="120"/>
        <v>99.963786859803406</v>
      </c>
    </row>
    <row r="837" spans="1:9" s="191" customFormat="1" ht="17.45" customHeight="1" x14ac:dyDescent="0.25">
      <c r="A837" s="29" t="s">
        <v>390</v>
      </c>
      <c r="B837" s="399" t="s">
        <v>977</v>
      </c>
      <c r="C837" s="399" t="s">
        <v>234</v>
      </c>
      <c r="D837" s="399"/>
      <c r="E837" s="73"/>
      <c r="F837" s="2"/>
      <c r="G837" s="10">
        <f t="shared" si="134"/>
        <v>193.3</v>
      </c>
      <c r="H837" s="10">
        <f t="shared" si="134"/>
        <v>193.23</v>
      </c>
      <c r="I837" s="389">
        <f t="shared" si="120"/>
        <v>99.963786859803406</v>
      </c>
    </row>
    <row r="838" spans="1:9" s="191" customFormat="1" ht="20.25" customHeight="1" x14ac:dyDescent="0.25">
      <c r="A838" s="29" t="s">
        <v>517</v>
      </c>
      <c r="B838" s="399" t="s">
        <v>977</v>
      </c>
      <c r="C838" s="399" t="s">
        <v>234</v>
      </c>
      <c r="D838" s="399" t="s">
        <v>213</v>
      </c>
      <c r="E838" s="73"/>
      <c r="F838" s="2"/>
      <c r="G838" s="10">
        <f t="shared" si="134"/>
        <v>193.3</v>
      </c>
      <c r="H838" s="10">
        <f t="shared" si="134"/>
        <v>193.23</v>
      </c>
      <c r="I838" s="389">
        <f t="shared" si="120"/>
        <v>99.963786859803406</v>
      </c>
    </row>
    <row r="839" spans="1:9" ht="15.75" x14ac:dyDescent="0.25">
      <c r="A839" s="172" t="s">
        <v>533</v>
      </c>
      <c r="B839" s="392" t="s">
        <v>975</v>
      </c>
      <c r="C839" s="399" t="s">
        <v>234</v>
      </c>
      <c r="D839" s="399" t="s">
        <v>213</v>
      </c>
      <c r="E839" s="399"/>
      <c r="F839" s="2"/>
      <c r="G839" s="10">
        <f t="shared" ref="G839:H840" si="135">G840</f>
        <v>193.3</v>
      </c>
      <c r="H839" s="10">
        <f t="shared" si="135"/>
        <v>193.23</v>
      </c>
      <c r="I839" s="389">
        <f t="shared" si="120"/>
        <v>99.963786859803406</v>
      </c>
    </row>
    <row r="840" spans="1:9" ht="31.5" x14ac:dyDescent="0.3">
      <c r="A840" s="396" t="s">
        <v>131</v>
      </c>
      <c r="B840" s="392" t="s">
        <v>975</v>
      </c>
      <c r="C840" s="399" t="s">
        <v>234</v>
      </c>
      <c r="D840" s="399" t="s">
        <v>213</v>
      </c>
      <c r="E840" s="2">
        <v>200</v>
      </c>
      <c r="F840" s="77"/>
      <c r="G840" s="389">
        <f t="shared" si="135"/>
        <v>193.3</v>
      </c>
      <c r="H840" s="389">
        <f t="shared" si="135"/>
        <v>193.23</v>
      </c>
      <c r="I840" s="389">
        <f t="shared" si="120"/>
        <v>99.963786859803406</v>
      </c>
    </row>
    <row r="841" spans="1:9" ht="31.5" x14ac:dyDescent="0.3">
      <c r="A841" s="396" t="s">
        <v>133</v>
      </c>
      <c r="B841" s="392" t="s">
        <v>975</v>
      </c>
      <c r="C841" s="399" t="s">
        <v>234</v>
      </c>
      <c r="D841" s="399" t="s">
        <v>213</v>
      </c>
      <c r="E841" s="2">
        <v>240</v>
      </c>
      <c r="F841" s="77"/>
      <c r="G841" s="389">
        <f>'Пр.3 Рд,пр, ЦС,ВР 21'!F428</f>
        <v>193.3</v>
      </c>
      <c r="H841" s="389">
        <f>'Пр.3 Рд,пр, ЦС,ВР 21'!G428</f>
        <v>193.23</v>
      </c>
      <c r="I841" s="389">
        <f t="shared" si="120"/>
        <v>99.963786859803406</v>
      </c>
    </row>
    <row r="842" spans="1:9" ht="38.25" customHeight="1" x14ac:dyDescent="0.25">
      <c r="A842" s="45" t="s">
        <v>623</v>
      </c>
      <c r="B842" s="392" t="s">
        <v>975</v>
      </c>
      <c r="C842" s="399" t="s">
        <v>234</v>
      </c>
      <c r="D842" s="399" t="s">
        <v>213</v>
      </c>
      <c r="E842" s="2">
        <v>240</v>
      </c>
      <c r="F842" s="2">
        <v>908</v>
      </c>
      <c r="G842" s="389">
        <f>G841</f>
        <v>193.3</v>
      </c>
      <c r="H842" s="389">
        <f>H841</f>
        <v>193.23</v>
      </c>
      <c r="I842" s="389">
        <f t="shared" si="120"/>
        <v>99.963786859803406</v>
      </c>
    </row>
    <row r="843" spans="1:9" s="387" customFormat="1" ht="31.5" x14ac:dyDescent="0.25">
      <c r="A843" s="204" t="s">
        <v>1658</v>
      </c>
      <c r="B843" s="395" t="s">
        <v>1657</v>
      </c>
      <c r="C843" s="7"/>
      <c r="D843" s="7"/>
      <c r="E843" s="3"/>
      <c r="F843" s="3"/>
      <c r="G843" s="388">
        <f t="shared" ref="G843:H847" si="136">G844</f>
        <v>56185.292710000002</v>
      </c>
      <c r="H843" s="388">
        <f t="shared" si="136"/>
        <v>56088.718000000001</v>
      </c>
      <c r="I843" s="492">
        <f t="shared" si="120"/>
        <v>99.828113897175058</v>
      </c>
    </row>
    <row r="844" spans="1:9" s="387" customFormat="1" ht="15.75" x14ac:dyDescent="0.25">
      <c r="A844" s="29" t="s">
        <v>390</v>
      </c>
      <c r="B844" s="399" t="s">
        <v>1657</v>
      </c>
      <c r="C844" s="399" t="s">
        <v>234</v>
      </c>
      <c r="D844" s="399"/>
      <c r="E844" s="2"/>
      <c r="F844" s="2"/>
      <c r="G844" s="389">
        <f t="shared" si="136"/>
        <v>56185.292710000002</v>
      </c>
      <c r="H844" s="389">
        <f t="shared" si="136"/>
        <v>56088.718000000001</v>
      </c>
      <c r="I844" s="389">
        <f t="shared" si="120"/>
        <v>99.828113897175058</v>
      </c>
    </row>
    <row r="845" spans="1:9" s="387" customFormat="1" ht="15.75" x14ac:dyDescent="0.25">
      <c r="A845" s="29" t="s">
        <v>517</v>
      </c>
      <c r="B845" s="399" t="s">
        <v>1657</v>
      </c>
      <c r="C845" s="399" t="s">
        <v>234</v>
      </c>
      <c r="D845" s="399" t="s">
        <v>213</v>
      </c>
      <c r="E845" s="2"/>
      <c r="F845" s="2"/>
      <c r="G845" s="389">
        <f t="shared" si="136"/>
        <v>56185.292710000002</v>
      </c>
      <c r="H845" s="389">
        <f t="shared" si="136"/>
        <v>56088.718000000001</v>
      </c>
      <c r="I845" s="389">
        <f t="shared" si="120"/>
        <v>99.828113897175058</v>
      </c>
    </row>
    <row r="846" spans="1:9" s="387" customFormat="1" ht="47.25" x14ac:dyDescent="0.25">
      <c r="A846" s="396" t="s">
        <v>1656</v>
      </c>
      <c r="B846" s="392" t="s">
        <v>1659</v>
      </c>
      <c r="C846" s="399" t="s">
        <v>234</v>
      </c>
      <c r="D846" s="399" t="s">
        <v>213</v>
      </c>
      <c r="E846" s="2"/>
      <c r="F846" s="2"/>
      <c r="G846" s="389">
        <f t="shared" si="136"/>
        <v>56185.292710000002</v>
      </c>
      <c r="H846" s="389">
        <f t="shared" si="136"/>
        <v>56088.718000000001</v>
      </c>
      <c r="I846" s="389">
        <f t="shared" si="120"/>
        <v>99.828113897175058</v>
      </c>
    </row>
    <row r="847" spans="1:9" s="387" customFormat="1" ht="31.5" x14ac:dyDescent="0.25">
      <c r="A847" s="396" t="s">
        <v>131</v>
      </c>
      <c r="B847" s="392" t="s">
        <v>1659</v>
      </c>
      <c r="C847" s="399" t="s">
        <v>234</v>
      </c>
      <c r="D847" s="399" t="s">
        <v>213</v>
      </c>
      <c r="E847" s="2">
        <v>200</v>
      </c>
      <c r="F847" s="2"/>
      <c r="G847" s="389">
        <f t="shared" si="136"/>
        <v>56185.292710000002</v>
      </c>
      <c r="H847" s="389">
        <f t="shared" si="136"/>
        <v>56088.718000000001</v>
      </c>
      <c r="I847" s="389">
        <f t="shared" si="120"/>
        <v>99.828113897175058</v>
      </c>
    </row>
    <row r="848" spans="1:9" s="387" customFormat="1" ht="31.5" x14ac:dyDescent="0.25">
      <c r="A848" s="396" t="s">
        <v>133</v>
      </c>
      <c r="B848" s="392" t="s">
        <v>1659</v>
      </c>
      <c r="C848" s="399" t="s">
        <v>234</v>
      </c>
      <c r="D848" s="399" t="s">
        <v>213</v>
      </c>
      <c r="E848" s="2">
        <v>240</v>
      </c>
      <c r="F848" s="2"/>
      <c r="G848" s="389">
        <f>'Пр.4 ведом.21'!G1088</f>
        <v>56185.292710000002</v>
      </c>
      <c r="H848" s="389">
        <f>'Пр.4 ведом.21'!H1088</f>
        <v>56088.718000000001</v>
      </c>
      <c r="I848" s="389">
        <f t="shared" si="120"/>
        <v>99.828113897175058</v>
      </c>
    </row>
    <row r="849" spans="1:9" s="387" customFormat="1" ht="31.5" x14ac:dyDescent="0.25">
      <c r="A849" s="45" t="s">
        <v>623</v>
      </c>
      <c r="B849" s="392" t="s">
        <v>1659</v>
      </c>
      <c r="C849" s="399" t="s">
        <v>234</v>
      </c>
      <c r="D849" s="399" t="s">
        <v>213</v>
      </c>
      <c r="E849" s="2">
        <v>240</v>
      </c>
      <c r="F849" s="2">
        <v>908</v>
      </c>
      <c r="G849" s="389">
        <f>G848</f>
        <v>56185.292710000002</v>
      </c>
      <c r="H849" s="389">
        <f>H848</f>
        <v>56088.718000000001</v>
      </c>
      <c r="I849" s="389">
        <f t="shared" ref="I849:I912" si="137">H849/G849*100</f>
        <v>99.828113897175058</v>
      </c>
    </row>
    <row r="850" spans="1:9" ht="39.4" customHeight="1" x14ac:dyDescent="0.25">
      <c r="A850" s="394" t="s">
        <v>1348</v>
      </c>
      <c r="B850" s="395" t="s">
        <v>335</v>
      </c>
      <c r="C850" s="7"/>
      <c r="D850" s="7"/>
      <c r="E850" s="3"/>
      <c r="F850" s="3"/>
      <c r="G850" s="388">
        <f t="shared" ref="G850:H852" si="138">G851</f>
        <v>20</v>
      </c>
      <c r="H850" s="388">
        <f t="shared" si="138"/>
        <v>20</v>
      </c>
      <c r="I850" s="492">
        <f t="shared" si="137"/>
        <v>100</v>
      </c>
    </row>
    <row r="851" spans="1:9" s="191" customFormat="1" ht="31.5" x14ac:dyDescent="0.25">
      <c r="A851" s="394" t="s">
        <v>1050</v>
      </c>
      <c r="B851" s="395" t="s">
        <v>1051</v>
      </c>
      <c r="C851" s="7"/>
      <c r="D851" s="7"/>
      <c r="E851" s="3"/>
      <c r="F851" s="3"/>
      <c r="G851" s="388">
        <f t="shared" si="138"/>
        <v>20</v>
      </c>
      <c r="H851" s="388">
        <f t="shared" si="138"/>
        <v>20</v>
      </c>
      <c r="I851" s="492">
        <f t="shared" si="137"/>
        <v>100</v>
      </c>
    </row>
    <row r="852" spans="1:9" ht="15.75" x14ac:dyDescent="0.25">
      <c r="A852" s="29" t="s">
        <v>117</v>
      </c>
      <c r="B852" s="392" t="s">
        <v>1051</v>
      </c>
      <c r="C852" s="399" t="s">
        <v>118</v>
      </c>
      <c r="D852" s="399"/>
      <c r="E852" s="2"/>
      <c r="F852" s="2"/>
      <c r="G852" s="389">
        <f t="shared" si="138"/>
        <v>20</v>
      </c>
      <c r="H852" s="389">
        <f t="shared" si="138"/>
        <v>20</v>
      </c>
      <c r="I852" s="389">
        <f t="shared" si="137"/>
        <v>100</v>
      </c>
    </row>
    <row r="853" spans="1:9" ht="15.75" x14ac:dyDescent="0.25">
      <c r="A853" s="29" t="s">
        <v>139</v>
      </c>
      <c r="B853" s="392" t="s">
        <v>1051</v>
      </c>
      <c r="C853" s="399" t="s">
        <v>118</v>
      </c>
      <c r="D853" s="399" t="s">
        <v>140</v>
      </c>
      <c r="E853" s="2"/>
      <c r="F853" s="2"/>
      <c r="G853" s="389">
        <f>G854+G861+G865+G869+G873</f>
        <v>20</v>
      </c>
      <c r="H853" s="389">
        <f>H854+H861+H865+H869+H873</f>
        <v>20</v>
      </c>
      <c r="I853" s="389">
        <f t="shared" si="137"/>
        <v>100</v>
      </c>
    </row>
    <row r="854" spans="1:9" ht="31.5" hidden="1" x14ac:dyDescent="0.25">
      <c r="A854" s="396" t="s">
        <v>336</v>
      </c>
      <c r="B854" s="392" t="s">
        <v>1052</v>
      </c>
      <c r="C854" s="399" t="s">
        <v>118</v>
      </c>
      <c r="D854" s="399" t="s">
        <v>140</v>
      </c>
      <c r="E854" s="2"/>
      <c r="F854" s="2"/>
      <c r="G854" s="389">
        <f>G855+G858</f>
        <v>0</v>
      </c>
      <c r="H854" s="389">
        <f>H855+H858</f>
        <v>0</v>
      </c>
      <c r="I854" s="389" t="e">
        <f t="shared" si="137"/>
        <v>#DIV/0!</v>
      </c>
    </row>
    <row r="855" spans="1:9" ht="31.5" hidden="1" x14ac:dyDescent="0.25">
      <c r="A855" s="396" t="s">
        <v>131</v>
      </c>
      <c r="B855" s="392" t="s">
        <v>1052</v>
      </c>
      <c r="C855" s="399" t="s">
        <v>118</v>
      </c>
      <c r="D855" s="399" t="s">
        <v>140</v>
      </c>
      <c r="E855" s="2">
        <v>200</v>
      </c>
      <c r="F855" s="2"/>
      <c r="G855" s="389">
        <f t="shared" ref="G855:H855" si="139">G856</f>
        <v>0</v>
      </c>
      <c r="H855" s="389">
        <f t="shared" si="139"/>
        <v>0</v>
      </c>
      <c r="I855" s="389" t="e">
        <f t="shared" si="137"/>
        <v>#DIV/0!</v>
      </c>
    </row>
    <row r="856" spans="1:9" ht="31.5" hidden="1" x14ac:dyDescent="0.25">
      <c r="A856" s="396" t="s">
        <v>133</v>
      </c>
      <c r="B856" s="392" t="s">
        <v>1052</v>
      </c>
      <c r="C856" s="399" t="s">
        <v>118</v>
      </c>
      <c r="D856" s="399" t="s">
        <v>140</v>
      </c>
      <c r="E856" s="2">
        <v>240</v>
      </c>
      <c r="F856" s="2"/>
      <c r="G856" s="389">
        <f>'Пр.4 ведом.21'!G628</f>
        <v>0</v>
      </c>
      <c r="H856" s="389">
        <f>'Пр.4 ведом.21'!H628</f>
        <v>0</v>
      </c>
      <c r="I856" s="389" t="e">
        <f t="shared" si="137"/>
        <v>#DIV/0!</v>
      </c>
    </row>
    <row r="857" spans="1:9" s="191" customFormat="1" ht="31.5" hidden="1" x14ac:dyDescent="0.25">
      <c r="A857" s="29" t="s">
        <v>403</v>
      </c>
      <c r="B857" s="392" t="s">
        <v>1052</v>
      </c>
      <c r="C857" s="399" t="s">
        <v>118</v>
      </c>
      <c r="D857" s="399" t="s">
        <v>140</v>
      </c>
      <c r="E857" s="2">
        <v>240</v>
      </c>
      <c r="F857" s="2">
        <v>906</v>
      </c>
      <c r="G857" s="389">
        <f>G856</f>
        <v>0</v>
      </c>
      <c r="H857" s="389">
        <f>H856</f>
        <v>0</v>
      </c>
      <c r="I857" s="389" t="e">
        <f t="shared" si="137"/>
        <v>#DIV/0!</v>
      </c>
    </row>
    <row r="858" spans="1:9" s="191" customFormat="1" ht="31.5" hidden="1" x14ac:dyDescent="0.25">
      <c r="A858" s="396" t="s">
        <v>131</v>
      </c>
      <c r="B858" s="392" t="s">
        <v>1052</v>
      </c>
      <c r="C858" s="399" t="s">
        <v>118</v>
      </c>
      <c r="D858" s="399" t="s">
        <v>140</v>
      </c>
      <c r="E858" s="2">
        <v>200</v>
      </c>
      <c r="F858" s="2"/>
      <c r="G858" s="389">
        <f t="shared" ref="G858:H858" si="140">G859</f>
        <v>0</v>
      </c>
      <c r="H858" s="389">
        <f t="shared" si="140"/>
        <v>0</v>
      </c>
      <c r="I858" s="389" t="e">
        <f t="shared" si="137"/>
        <v>#DIV/0!</v>
      </c>
    </row>
    <row r="859" spans="1:9" s="191" customFormat="1" ht="31.5" hidden="1" x14ac:dyDescent="0.25">
      <c r="A859" s="396" t="s">
        <v>133</v>
      </c>
      <c r="B859" s="392" t="s">
        <v>1052</v>
      </c>
      <c r="C859" s="399" t="s">
        <v>118</v>
      </c>
      <c r="D859" s="399" t="s">
        <v>140</v>
      </c>
      <c r="E859" s="2">
        <v>240</v>
      </c>
      <c r="F859" s="2"/>
      <c r="G859" s="389">
        <f>'Пр.4 ведом.21'!G876</f>
        <v>0</v>
      </c>
      <c r="H859" s="389">
        <f>'Пр.4 ведом.21'!H876</f>
        <v>0</v>
      </c>
      <c r="I859" s="389" t="e">
        <f t="shared" si="137"/>
        <v>#DIV/0!</v>
      </c>
    </row>
    <row r="860" spans="1:9" s="191" customFormat="1" ht="31.5" hidden="1" x14ac:dyDescent="0.25">
      <c r="A860" s="45" t="s">
        <v>480</v>
      </c>
      <c r="B860" s="392" t="s">
        <v>1052</v>
      </c>
      <c r="C860" s="399" t="s">
        <v>118</v>
      </c>
      <c r="D860" s="399" t="s">
        <v>140</v>
      </c>
      <c r="E860" s="2">
        <v>240</v>
      </c>
      <c r="F860" s="2">
        <v>907</v>
      </c>
      <c r="G860" s="389">
        <f>G859</f>
        <v>0</v>
      </c>
      <c r="H860" s="389">
        <f>H859</f>
        <v>0</v>
      </c>
      <c r="I860" s="389" t="e">
        <f t="shared" si="137"/>
        <v>#DIV/0!</v>
      </c>
    </row>
    <row r="861" spans="1:9" ht="23.25" customHeight="1" x14ac:dyDescent="0.25">
      <c r="A861" s="396" t="s">
        <v>338</v>
      </c>
      <c r="B861" s="392" t="s">
        <v>1053</v>
      </c>
      <c r="C861" s="399" t="s">
        <v>118</v>
      </c>
      <c r="D861" s="399" t="s">
        <v>140</v>
      </c>
      <c r="E861" s="2"/>
      <c r="F861" s="2"/>
      <c r="G861" s="389">
        <f t="shared" ref="G861:H862" si="141">G862</f>
        <v>20</v>
      </c>
      <c r="H861" s="389">
        <f t="shared" si="141"/>
        <v>20</v>
      </c>
      <c r="I861" s="389">
        <f t="shared" si="137"/>
        <v>100</v>
      </c>
    </row>
    <row r="862" spans="1:9" ht="31.5" x14ac:dyDescent="0.25">
      <c r="A862" s="396" t="s">
        <v>131</v>
      </c>
      <c r="B862" s="392" t="s">
        <v>1053</v>
      </c>
      <c r="C862" s="399" t="s">
        <v>118</v>
      </c>
      <c r="D862" s="399" t="s">
        <v>140</v>
      </c>
      <c r="E862" s="2">
        <v>200</v>
      </c>
      <c r="F862" s="2"/>
      <c r="G862" s="389">
        <f t="shared" si="141"/>
        <v>20</v>
      </c>
      <c r="H862" s="389">
        <f t="shared" si="141"/>
        <v>20</v>
      </c>
      <c r="I862" s="389">
        <f t="shared" si="137"/>
        <v>100</v>
      </c>
    </row>
    <row r="863" spans="1:9" ht="31.5" x14ac:dyDescent="0.25">
      <c r="A863" s="396" t="s">
        <v>133</v>
      </c>
      <c r="B863" s="392" t="s">
        <v>1053</v>
      </c>
      <c r="C863" s="399" t="s">
        <v>118</v>
      </c>
      <c r="D863" s="399" t="s">
        <v>140</v>
      </c>
      <c r="E863" s="2">
        <v>240</v>
      </c>
      <c r="F863" s="2"/>
      <c r="G863" s="389">
        <f>'Пр.4 ведом.21'!G278</f>
        <v>20</v>
      </c>
      <c r="H863" s="389">
        <f>'Пр.4 ведом.21'!H278</f>
        <v>20</v>
      </c>
      <c r="I863" s="389">
        <f t="shared" si="137"/>
        <v>100</v>
      </c>
    </row>
    <row r="864" spans="1:9" s="191" customFormat="1" ht="47.25" x14ac:dyDescent="0.25">
      <c r="A864" s="45" t="s">
        <v>261</v>
      </c>
      <c r="B864" s="392" t="s">
        <v>1053</v>
      </c>
      <c r="C864" s="399" t="s">
        <v>118</v>
      </c>
      <c r="D864" s="399" t="s">
        <v>140</v>
      </c>
      <c r="E864" s="2">
        <v>240</v>
      </c>
      <c r="F864" s="2">
        <v>903</v>
      </c>
      <c r="G864" s="389">
        <f>G863</f>
        <v>20</v>
      </c>
      <c r="H864" s="389">
        <f>H863</f>
        <v>20</v>
      </c>
      <c r="I864" s="389">
        <f t="shared" si="137"/>
        <v>100</v>
      </c>
    </row>
    <row r="865" spans="1:9" ht="47.25" hidden="1" x14ac:dyDescent="0.25">
      <c r="A865" s="31" t="s">
        <v>771</v>
      </c>
      <c r="B865" s="392" t="s">
        <v>1054</v>
      </c>
      <c r="C865" s="399" t="s">
        <v>118</v>
      </c>
      <c r="D865" s="399" t="s">
        <v>140</v>
      </c>
      <c r="E865" s="2"/>
      <c r="F865" s="2"/>
      <c r="G865" s="389">
        <f t="shared" ref="G865:H866" si="142">G866</f>
        <v>0</v>
      </c>
      <c r="H865" s="389">
        <f t="shared" si="142"/>
        <v>0</v>
      </c>
      <c r="I865" s="389" t="e">
        <f t="shared" si="137"/>
        <v>#DIV/0!</v>
      </c>
    </row>
    <row r="866" spans="1:9" ht="31.5" hidden="1" x14ac:dyDescent="0.25">
      <c r="A866" s="396" t="s">
        <v>131</v>
      </c>
      <c r="B866" s="392" t="s">
        <v>1054</v>
      </c>
      <c r="C866" s="392" t="s">
        <v>118</v>
      </c>
      <c r="D866" s="392" t="s">
        <v>140</v>
      </c>
      <c r="E866" s="392" t="s">
        <v>132</v>
      </c>
      <c r="F866" s="175"/>
      <c r="G866" s="389">
        <f t="shared" si="142"/>
        <v>0</v>
      </c>
      <c r="H866" s="389">
        <f t="shared" si="142"/>
        <v>0</v>
      </c>
      <c r="I866" s="389" t="e">
        <f t="shared" si="137"/>
        <v>#DIV/0!</v>
      </c>
    </row>
    <row r="867" spans="1:9" ht="31.5" hidden="1" x14ac:dyDescent="0.25">
      <c r="A867" s="396" t="s">
        <v>133</v>
      </c>
      <c r="B867" s="392" t="s">
        <v>1054</v>
      </c>
      <c r="C867" s="392" t="s">
        <v>118</v>
      </c>
      <c r="D867" s="392" t="s">
        <v>140</v>
      </c>
      <c r="E867" s="392" t="s">
        <v>134</v>
      </c>
      <c r="F867" s="175"/>
      <c r="G867" s="389">
        <f>'Пр.4 ведом.21'!G281</f>
        <v>0</v>
      </c>
      <c r="H867" s="389">
        <f>'Пр.4 ведом.21'!H281</f>
        <v>0</v>
      </c>
      <c r="I867" s="389" t="e">
        <f t="shared" si="137"/>
        <v>#DIV/0!</v>
      </c>
    </row>
    <row r="868" spans="1:9" s="191" customFormat="1" ht="47.25" hidden="1" x14ac:dyDescent="0.25">
      <c r="A868" s="45" t="s">
        <v>261</v>
      </c>
      <c r="B868" s="392" t="s">
        <v>1054</v>
      </c>
      <c r="C868" s="399" t="s">
        <v>118</v>
      </c>
      <c r="D868" s="399" t="s">
        <v>140</v>
      </c>
      <c r="E868" s="2">
        <v>240</v>
      </c>
      <c r="F868" s="2">
        <v>903</v>
      </c>
      <c r="G868" s="389">
        <f>G867</f>
        <v>0</v>
      </c>
      <c r="H868" s="389">
        <f>H867</f>
        <v>0</v>
      </c>
      <c r="I868" s="389" t="e">
        <f t="shared" si="137"/>
        <v>#DIV/0!</v>
      </c>
    </row>
    <row r="869" spans="1:9" ht="31.5" hidden="1" x14ac:dyDescent="0.25">
      <c r="A869" s="396" t="s">
        <v>679</v>
      </c>
      <c r="B869" s="392" t="s">
        <v>1055</v>
      </c>
      <c r="C869" s="399" t="s">
        <v>118</v>
      </c>
      <c r="D869" s="399" t="s">
        <v>140</v>
      </c>
      <c r="E869" s="2"/>
      <c r="F869" s="175"/>
      <c r="G869" s="389">
        <f t="shared" ref="G869:H870" si="143">G870</f>
        <v>0</v>
      </c>
      <c r="H869" s="389">
        <f t="shared" si="143"/>
        <v>0</v>
      </c>
      <c r="I869" s="389" t="e">
        <f t="shared" si="137"/>
        <v>#DIV/0!</v>
      </c>
    </row>
    <row r="870" spans="1:9" ht="31.5" hidden="1" x14ac:dyDescent="0.25">
      <c r="A870" s="396" t="s">
        <v>131</v>
      </c>
      <c r="B870" s="392" t="s">
        <v>1055</v>
      </c>
      <c r="C870" s="399" t="s">
        <v>118</v>
      </c>
      <c r="D870" s="399" t="s">
        <v>140</v>
      </c>
      <c r="E870" s="2">
        <v>200</v>
      </c>
      <c r="F870" s="175"/>
      <c r="G870" s="389">
        <f t="shared" si="143"/>
        <v>0</v>
      </c>
      <c r="H870" s="389">
        <f t="shared" si="143"/>
        <v>0</v>
      </c>
      <c r="I870" s="389" t="e">
        <f t="shared" si="137"/>
        <v>#DIV/0!</v>
      </c>
    </row>
    <row r="871" spans="1:9" ht="31.5" hidden="1" x14ac:dyDescent="0.25">
      <c r="A871" s="396" t="s">
        <v>133</v>
      </c>
      <c r="B871" s="392" t="s">
        <v>1055</v>
      </c>
      <c r="C871" s="399" t="s">
        <v>118</v>
      </c>
      <c r="D871" s="399" t="s">
        <v>140</v>
      </c>
      <c r="E871" s="2">
        <v>240</v>
      </c>
      <c r="F871" s="175"/>
      <c r="G871" s="389">
        <f>'Пр.4 ведом.21'!G284</f>
        <v>0</v>
      </c>
      <c r="H871" s="389">
        <f>'Пр.4 ведом.21'!H284</f>
        <v>0</v>
      </c>
      <c r="I871" s="389" t="e">
        <f t="shared" si="137"/>
        <v>#DIV/0!</v>
      </c>
    </row>
    <row r="872" spans="1:9" s="191" customFormat="1" ht="47.25" hidden="1" x14ac:dyDescent="0.25">
      <c r="A872" s="45" t="s">
        <v>261</v>
      </c>
      <c r="B872" s="392" t="s">
        <v>1055</v>
      </c>
      <c r="C872" s="399" t="s">
        <v>118</v>
      </c>
      <c r="D872" s="399" t="s">
        <v>140</v>
      </c>
      <c r="E872" s="2">
        <v>240</v>
      </c>
      <c r="F872" s="2">
        <v>903</v>
      </c>
      <c r="G872" s="389">
        <f>G871</f>
        <v>0</v>
      </c>
      <c r="H872" s="389">
        <f>H871</f>
        <v>0</v>
      </c>
      <c r="I872" s="389" t="e">
        <f t="shared" si="137"/>
        <v>#DIV/0!</v>
      </c>
    </row>
    <row r="873" spans="1:9" ht="31.7" hidden="1" customHeight="1" x14ac:dyDescent="0.25">
      <c r="A873" s="31" t="s">
        <v>772</v>
      </c>
      <c r="B873" s="392" t="s">
        <v>1056</v>
      </c>
      <c r="C873" s="392" t="s">
        <v>118</v>
      </c>
      <c r="D873" s="392" t="s">
        <v>140</v>
      </c>
      <c r="E873" s="392"/>
      <c r="F873" s="175"/>
      <c r="G873" s="389">
        <f t="shared" ref="G873:H874" si="144">G874</f>
        <v>0</v>
      </c>
      <c r="H873" s="389">
        <f t="shared" si="144"/>
        <v>0</v>
      </c>
      <c r="I873" s="389" t="e">
        <f t="shared" si="137"/>
        <v>#DIV/0!</v>
      </c>
    </row>
    <row r="874" spans="1:9" ht="31.7" hidden="1" customHeight="1" x14ac:dyDescent="0.25">
      <c r="A874" s="396" t="s">
        <v>131</v>
      </c>
      <c r="B874" s="392" t="s">
        <v>1056</v>
      </c>
      <c r="C874" s="392" t="s">
        <v>118</v>
      </c>
      <c r="D874" s="392" t="s">
        <v>140</v>
      </c>
      <c r="E874" s="392" t="s">
        <v>132</v>
      </c>
      <c r="F874" s="175"/>
      <c r="G874" s="389">
        <f t="shared" si="144"/>
        <v>0</v>
      </c>
      <c r="H874" s="389">
        <f t="shared" si="144"/>
        <v>0</v>
      </c>
      <c r="I874" s="389" t="e">
        <f t="shared" si="137"/>
        <v>#DIV/0!</v>
      </c>
    </row>
    <row r="875" spans="1:9" ht="31.7" hidden="1" customHeight="1" x14ac:dyDescent="0.25">
      <c r="A875" s="396" t="s">
        <v>133</v>
      </c>
      <c r="B875" s="392" t="s">
        <v>1056</v>
      </c>
      <c r="C875" s="392" t="s">
        <v>118</v>
      </c>
      <c r="D875" s="392" t="s">
        <v>140</v>
      </c>
      <c r="E875" s="392" t="s">
        <v>134</v>
      </c>
      <c r="F875" s="175"/>
      <c r="G875" s="389">
        <f>'Пр.4 ведом.21'!G287</f>
        <v>0</v>
      </c>
      <c r="H875" s="389">
        <f>'Пр.4 ведом.21'!H287</f>
        <v>0</v>
      </c>
      <c r="I875" s="389" t="e">
        <f t="shared" si="137"/>
        <v>#DIV/0!</v>
      </c>
    </row>
    <row r="876" spans="1:9" ht="47.25" hidden="1" x14ac:dyDescent="0.25">
      <c r="A876" s="45" t="s">
        <v>261</v>
      </c>
      <c r="B876" s="392" t="s">
        <v>1056</v>
      </c>
      <c r="C876" s="392" t="s">
        <v>118</v>
      </c>
      <c r="D876" s="392" t="s">
        <v>140</v>
      </c>
      <c r="E876" s="392" t="s">
        <v>134</v>
      </c>
      <c r="F876" s="2">
        <v>903</v>
      </c>
      <c r="G876" s="389">
        <f>G875</f>
        <v>0</v>
      </c>
      <c r="H876" s="389">
        <f>H875</f>
        <v>0</v>
      </c>
      <c r="I876" s="389" t="e">
        <f t="shared" si="137"/>
        <v>#DIV/0!</v>
      </c>
    </row>
    <row r="877" spans="1:9" ht="48.75" customHeight="1" x14ac:dyDescent="0.25">
      <c r="A877" s="400" t="s">
        <v>1351</v>
      </c>
      <c r="B877" s="395" t="s">
        <v>705</v>
      </c>
      <c r="C877" s="7"/>
      <c r="D877" s="7"/>
      <c r="E877" s="3"/>
      <c r="F877" s="3"/>
      <c r="G877" s="388">
        <f>G878+G889+G928+G935</f>
        <v>4364.3999999999996</v>
      </c>
      <c r="H877" s="388">
        <f>H878+H889+H928+H935</f>
        <v>4163.098</v>
      </c>
      <c r="I877" s="492">
        <f t="shared" si="137"/>
        <v>95.387636330308865</v>
      </c>
    </row>
    <row r="878" spans="1:9" s="191" customFormat="1" ht="48.75" customHeight="1" x14ac:dyDescent="0.25">
      <c r="A878" s="195" t="s">
        <v>845</v>
      </c>
      <c r="B878" s="395" t="s">
        <v>851</v>
      </c>
      <c r="C878" s="7"/>
      <c r="D878" s="7"/>
      <c r="E878" s="3"/>
      <c r="F878" s="3"/>
      <c r="G878" s="388">
        <f>G879</f>
        <v>5.2</v>
      </c>
      <c r="H878" s="388">
        <f>H879</f>
        <v>5.1769999999999996</v>
      </c>
      <c r="I878" s="492">
        <f t="shared" si="137"/>
        <v>99.557692307692292</v>
      </c>
    </row>
    <row r="879" spans="1:9" s="121" customFormat="1" ht="15.75" x14ac:dyDescent="0.25">
      <c r="A879" s="29" t="s">
        <v>117</v>
      </c>
      <c r="B879" s="392" t="s">
        <v>851</v>
      </c>
      <c r="C879" s="399" t="s">
        <v>118</v>
      </c>
      <c r="D879" s="399"/>
      <c r="E879" s="2"/>
      <c r="F879" s="2"/>
      <c r="G879" s="389">
        <f t="shared" ref="G879:H879" si="145">G880</f>
        <v>5.2</v>
      </c>
      <c r="H879" s="389">
        <f t="shared" si="145"/>
        <v>5.1769999999999996</v>
      </c>
      <c r="I879" s="389">
        <f t="shared" si="137"/>
        <v>99.557692307692292</v>
      </c>
    </row>
    <row r="880" spans="1:9" s="121" customFormat="1" ht="15.75" x14ac:dyDescent="0.25">
      <c r="A880" s="29" t="s">
        <v>139</v>
      </c>
      <c r="B880" s="392" t="s">
        <v>851</v>
      </c>
      <c r="C880" s="399" t="s">
        <v>118</v>
      </c>
      <c r="D880" s="399" t="s">
        <v>140</v>
      </c>
      <c r="E880" s="2"/>
      <c r="F880" s="2"/>
      <c r="G880" s="389">
        <f>G881+G885</f>
        <v>5.2</v>
      </c>
      <c r="H880" s="389">
        <f>H881+H885</f>
        <v>5.1769999999999996</v>
      </c>
      <c r="I880" s="389">
        <f t="shared" si="137"/>
        <v>99.557692307692292</v>
      </c>
    </row>
    <row r="881" spans="1:9" ht="31.5" hidden="1" x14ac:dyDescent="0.25">
      <c r="A881" s="98" t="s">
        <v>776</v>
      </c>
      <c r="B881" s="392" t="s">
        <v>846</v>
      </c>
      <c r="C881" s="399" t="s">
        <v>118</v>
      </c>
      <c r="D881" s="399" t="s">
        <v>140</v>
      </c>
      <c r="E881" s="2"/>
      <c r="F881" s="2"/>
      <c r="G881" s="389">
        <f t="shared" ref="G881:H882" si="146">G882</f>
        <v>0</v>
      </c>
      <c r="H881" s="389">
        <f t="shared" si="146"/>
        <v>0</v>
      </c>
      <c r="I881" s="389" t="e">
        <f t="shared" si="137"/>
        <v>#DIV/0!</v>
      </c>
    </row>
    <row r="882" spans="1:9" ht="31.5" hidden="1" x14ac:dyDescent="0.25">
      <c r="A882" s="396" t="s">
        <v>131</v>
      </c>
      <c r="B882" s="392" t="s">
        <v>846</v>
      </c>
      <c r="C882" s="399" t="s">
        <v>118</v>
      </c>
      <c r="D882" s="399" t="s">
        <v>140</v>
      </c>
      <c r="E882" s="2">
        <v>200</v>
      </c>
      <c r="F882" s="2"/>
      <c r="G882" s="389">
        <f t="shared" si="146"/>
        <v>0</v>
      </c>
      <c r="H882" s="389">
        <f t="shared" si="146"/>
        <v>0</v>
      </c>
      <c r="I882" s="389" t="e">
        <f t="shared" si="137"/>
        <v>#DIV/0!</v>
      </c>
    </row>
    <row r="883" spans="1:9" ht="31.5" hidden="1" x14ac:dyDescent="0.25">
      <c r="A883" s="396" t="s">
        <v>133</v>
      </c>
      <c r="B883" s="392" t="s">
        <v>846</v>
      </c>
      <c r="C883" s="399" t="s">
        <v>118</v>
      </c>
      <c r="D883" s="399" t="s">
        <v>140</v>
      </c>
      <c r="E883" s="2">
        <v>240</v>
      </c>
      <c r="F883" s="2"/>
      <c r="G883" s="389">
        <f>'Пр.4 ведом.21'!G160</f>
        <v>0</v>
      </c>
      <c r="H883" s="389">
        <f>'Пр.4 ведом.21'!H160</f>
        <v>0</v>
      </c>
      <c r="I883" s="389" t="e">
        <f t="shared" si="137"/>
        <v>#DIV/0!</v>
      </c>
    </row>
    <row r="884" spans="1:9" s="191" customFormat="1" ht="19.5" hidden="1" customHeight="1" x14ac:dyDescent="0.25">
      <c r="A884" s="29" t="s">
        <v>148</v>
      </c>
      <c r="B884" s="392" t="s">
        <v>846</v>
      </c>
      <c r="C884" s="399" t="s">
        <v>118</v>
      </c>
      <c r="D884" s="399" t="s">
        <v>140</v>
      </c>
      <c r="E884" s="2">
        <v>240</v>
      </c>
      <c r="F884" s="2">
        <v>902</v>
      </c>
      <c r="G884" s="389">
        <f>G883</f>
        <v>0</v>
      </c>
      <c r="H884" s="389">
        <f>H883</f>
        <v>0</v>
      </c>
      <c r="I884" s="389" t="e">
        <f t="shared" si="137"/>
        <v>#DIV/0!</v>
      </c>
    </row>
    <row r="885" spans="1:9" s="191" customFormat="1" ht="31.5" x14ac:dyDescent="0.25">
      <c r="A885" s="98" t="s">
        <v>776</v>
      </c>
      <c r="B885" s="392" t="s">
        <v>846</v>
      </c>
      <c r="C885" s="399" t="s">
        <v>118</v>
      </c>
      <c r="D885" s="399" t="s">
        <v>140</v>
      </c>
      <c r="E885" s="2"/>
      <c r="F885" s="2"/>
      <c r="G885" s="389">
        <f>G886</f>
        <v>5.2</v>
      </c>
      <c r="H885" s="389">
        <f>H886</f>
        <v>5.1769999999999996</v>
      </c>
      <c r="I885" s="389">
        <f t="shared" si="137"/>
        <v>99.557692307692292</v>
      </c>
    </row>
    <row r="886" spans="1:9" s="191" customFormat="1" ht="31.5" x14ac:dyDescent="0.25">
      <c r="A886" s="396" t="s">
        <v>131</v>
      </c>
      <c r="B886" s="392" t="s">
        <v>846</v>
      </c>
      <c r="C886" s="399" t="s">
        <v>118</v>
      </c>
      <c r="D886" s="399" t="s">
        <v>140</v>
      </c>
      <c r="E886" s="2">
        <v>200</v>
      </c>
      <c r="F886" s="2"/>
      <c r="G886" s="389">
        <f>G887</f>
        <v>5.2</v>
      </c>
      <c r="H886" s="389">
        <f>H887</f>
        <v>5.1769999999999996</v>
      </c>
      <c r="I886" s="389">
        <f t="shared" si="137"/>
        <v>99.557692307692292</v>
      </c>
    </row>
    <row r="887" spans="1:9" s="191" customFormat="1" ht="31.5" x14ac:dyDescent="0.25">
      <c r="A887" s="396" t="s">
        <v>133</v>
      </c>
      <c r="B887" s="392" t="s">
        <v>846</v>
      </c>
      <c r="C887" s="399" t="s">
        <v>118</v>
      </c>
      <c r="D887" s="399" t="s">
        <v>140</v>
      </c>
      <c r="E887" s="2">
        <v>240</v>
      </c>
      <c r="F887" s="2"/>
      <c r="G887" s="389">
        <f>'Пр.4 ведом.21'!G292</f>
        <v>5.2</v>
      </c>
      <c r="H887" s="389">
        <f>'Пр.4 ведом.21'!H292</f>
        <v>5.1769999999999996</v>
      </c>
      <c r="I887" s="389">
        <f t="shared" si="137"/>
        <v>99.557692307692292</v>
      </c>
    </row>
    <row r="888" spans="1:9" s="191" customFormat="1" ht="47.25" x14ac:dyDescent="0.25">
      <c r="A888" s="45" t="s">
        <v>261</v>
      </c>
      <c r="B888" s="392" t="s">
        <v>846</v>
      </c>
      <c r="C888" s="399" t="s">
        <v>118</v>
      </c>
      <c r="D888" s="399" t="s">
        <v>140</v>
      </c>
      <c r="E888" s="2">
        <v>240</v>
      </c>
      <c r="F888" s="2">
        <v>903</v>
      </c>
      <c r="G888" s="389">
        <f>G887</f>
        <v>5.2</v>
      </c>
      <c r="H888" s="389">
        <f>H887</f>
        <v>5.1769999999999996</v>
      </c>
      <c r="I888" s="389">
        <f t="shared" si="137"/>
        <v>99.557692307692292</v>
      </c>
    </row>
    <row r="889" spans="1:9" s="191" customFormat="1" ht="47.25" x14ac:dyDescent="0.25">
      <c r="A889" s="400" t="s">
        <v>889</v>
      </c>
      <c r="B889" s="395" t="s">
        <v>887</v>
      </c>
      <c r="C889" s="399"/>
      <c r="D889" s="399"/>
      <c r="E889" s="2"/>
      <c r="F889" s="2"/>
      <c r="G889" s="388">
        <f>G890+G910+G916+G922</f>
        <v>3744.2</v>
      </c>
      <c r="H889" s="388">
        <f>H890+H910+H916+H922</f>
        <v>3636.6060000000002</v>
      </c>
      <c r="I889" s="492">
        <f t="shared" si="137"/>
        <v>97.126382137706329</v>
      </c>
    </row>
    <row r="890" spans="1:9" s="191" customFormat="1" ht="15.75" x14ac:dyDescent="0.25">
      <c r="A890" s="29" t="s">
        <v>263</v>
      </c>
      <c r="B890" s="392" t="s">
        <v>887</v>
      </c>
      <c r="C890" s="399" t="s">
        <v>264</v>
      </c>
      <c r="D890" s="399"/>
      <c r="E890" s="2"/>
      <c r="F890" s="2"/>
      <c r="G890" s="389">
        <f>G891+G897+G901</f>
        <v>2227.9</v>
      </c>
      <c r="H890" s="389">
        <f>H891+H897+H901</f>
        <v>2161.8670000000002</v>
      </c>
      <c r="I890" s="389">
        <f t="shared" si="137"/>
        <v>97.036087795682036</v>
      </c>
    </row>
    <row r="891" spans="1:9" s="191" customFormat="1" ht="15.75" x14ac:dyDescent="0.25">
      <c r="A891" s="29" t="s">
        <v>404</v>
      </c>
      <c r="B891" s="392" t="s">
        <v>887</v>
      </c>
      <c r="C891" s="399" t="s">
        <v>264</v>
      </c>
      <c r="D891" s="399" t="s">
        <v>118</v>
      </c>
      <c r="E891" s="2"/>
      <c r="F891" s="2"/>
      <c r="G891" s="389">
        <f t="shared" ref="G891:H893" si="147">G892</f>
        <v>600.20000000000005</v>
      </c>
      <c r="H891" s="389">
        <f t="shared" si="147"/>
        <v>590.07100000000003</v>
      </c>
      <c r="I891" s="389">
        <f t="shared" si="137"/>
        <v>98.312395868043978</v>
      </c>
    </row>
    <row r="892" spans="1:9" s="191" customFormat="1" ht="47.25" x14ac:dyDescent="0.25">
      <c r="A892" s="45" t="s">
        <v>780</v>
      </c>
      <c r="B892" s="392" t="s">
        <v>935</v>
      </c>
      <c r="C892" s="399" t="s">
        <v>264</v>
      </c>
      <c r="D892" s="399" t="s">
        <v>118</v>
      </c>
      <c r="E892" s="2"/>
      <c r="F892" s="2"/>
      <c r="G892" s="389">
        <f t="shared" si="147"/>
        <v>600.20000000000005</v>
      </c>
      <c r="H892" s="389">
        <f t="shared" si="147"/>
        <v>590.07100000000003</v>
      </c>
      <c r="I892" s="389">
        <f t="shared" si="137"/>
        <v>98.312395868043978</v>
      </c>
    </row>
    <row r="893" spans="1:9" s="191" customFormat="1" ht="31.5" x14ac:dyDescent="0.25">
      <c r="A893" s="29" t="s">
        <v>272</v>
      </c>
      <c r="B893" s="392" t="s">
        <v>935</v>
      </c>
      <c r="C893" s="399" t="s">
        <v>264</v>
      </c>
      <c r="D893" s="399" t="s">
        <v>118</v>
      </c>
      <c r="E893" s="2">
        <v>600</v>
      </c>
      <c r="F893" s="2"/>
      <c r="G893" s="389">
        <f t="shared" si="147"/>
        <v>600.20000000000005</v>
      </c>
      <c r="H893" s="389">
        <f t="shared" si="147"/>
        <v>590.07100000000003</v>
      </c>
      <c r="I893" s="389">
        <f t="shared" si="137"/>
        <v>98.312395868043978</v>
      </c>
    </row>
    <row r="894" spans="1:9" s="191" customFormat="1" ht="15.75" x14ac:dyDescent="0.25">
      <c r="A894" s="180" t="s">
        <v>274</v>
      </c>
      <c r="B894" s="392" t="s">
        <v>935</v>
      </c>
      <c r="C894" s="399" t="s">
        <v>264</v>
      </c>
      <c r="D894" s="399" t="s">
        <v>118</v>
      </c>
      <c r="E894" s="2">
        <v>610</v>
      </c>
      <c r="F894" s="2"/>
      <c r="G894" s="389">
        <f>'Пр.4 ведом.21'!G697</f>
        <v>600.20000000000005</v>
      </c>
      <c r="H894" s="389">
        <f>'Пр.4 ведом.21'!H697</f>
        <v>590.07100000000003</v>
      </c>
      <c r="I894" s="389">
        <f t="shared" si="137"/>
        <v>98.312395868043978</v>
      </c>
    </row>
    <row r="895" spans="1:9" s="191" customFormat="1" ht="31.5" x14ac:dyDescent="0.25">
      <c r="A895" s="29" t="s">
        <v>403</v>
      </c>
      <c r="B895" s="392" t="s">
        <v>935</v>
      </c>
      <c r="C895" s="399" t="s">
        <v>264</v>
      </c>
      <c r="D895" s="399" t="s">
        <v>118</v>
      </c>
      <c r="E895" s="2">
        <v>610</v>
      </c>
      <c r="F895" s="2">
        <v>906</v>
      </c>
      <c r="G895" s="389">
        <f>G894</f>
        <v>600.20000000000005</v>
      </c>
      <c r="H895" s="389">
        <f>H894</f>
        <v>590.07100000000003</v>
      </c>
      <c r="I895" s="389">
        <f t="shared" si="137"/>
        <v>98.312395868043978</v>
      </c>
    </row>
    <row r="896" spans="1:9" s="191" customFormat="1" ht="15.75" x14ac:dyDescent="0.25">
      <c r="A896" s="45" t="s">
        <v>425</v>
      </c>
      <c r="B896" s="392" t="s">
        <v>887</v>
      </c>
      <c r="C896" s="399" t="s">
        <v>264</v>
      </c>
      <c r="D896" s="399" t="s">
        <v>213</v>
      </c>
      <c r="E896" s="2"/>
      <c r="F896" s="2"/>
      <c r="G896" s="389">
        <f t="shared" ref="G896:H898" si="148">G897</f>
        <v>837</v>
      </c>
      <c r="H896" s="389">
        <f t="shared" si="148"/>
        <v>784.38300000000004</v>
      </c>
      <c r="I896" s="389">
        <f t="shared" si="137"/>
        <v>93.713620071684588</v>
      </c>
    </row>
    <row r="897" spans="1:9" s="191" customFormat="1" ht="47.25" x14ac:dyDescent="0.25">
      <c r="A897" s="45" t="s">
        <v>780</v>
      </c>
      <c r="B897" s="392" t="s">
        <v>935</v>
      </c>
      <c r="C897" s="399" t="s">
        <v>264</v>
      </c>
      <c r="D897" s="399" t="s">
        <v>213</v>
      </c>
      <c r="E897" s="2"/>
      <c r="F897" s="2"/>
      <c r="G897" s="389">
        <f t="shared" si="148"/>
        <v>837</v>
      </c>
      <c r="H897" s="389">
        <f t="shared" si="148"/>
        <v>784.38300000000004</v>
      </c>
      <c r="I897" s="389">
        <f t="shared" si="137"/>
        <v>93.713620071684588</v>
      </c>
    </row>
    <row r="898" spans="1:9" s="191" customFormat="1" ht="31.5" x14ac:dyDescent="0.25">
      <c r="A898" s="29" t="s">
        <v>272</v>
      </c>
      <c r="B898" s="392" t="s">
        <v>935</v>
      </c>
      <c r="C898" s="399" t="s">
        <v>264</v>
      </c>
      <c r="D898" s="399" t="s">
        <v>213</v>
      </c>
      <c r="E898" s="2">
        <v>600</v>
      </c>
      <c r="F898" s="2"/>
      <c r="G898" s="389">
        <f t="shared" si="148"/>
        <v>837</v>
      </c>
      <c r="H898" s="389">
        <f t="shared" si="148"/>
        <v>784.38300000000004</v>
      </c>
      <c r="I898" s="389">
        <f t="shared" si="137"/>
        <v>93.713620071684588</v>
      </c>
    </row>
    <row r="899" spans="1:9" s="191" customFormat="1" ht="15.75" x14ac:dyDescent="0.25">
      <c r="A899" s="180" t="s">
        <v>274</v>
      </c>
      <c r="B899" s="392" t="s">
        <v>935</v>
      </c>
      <c r="C899" s="399" t="s">
        <v>264</v>
      </c>
      <c r="D899" s="399" t="s">
        <v>213</v>
      </c>
      <c r="E899" s="2">
        <v>610</v>
      </c>
      <c r="F899" s="2"/>
      <c r="G899" s="389">
        <f>'Пр.4 ведом.21'!G788</f>
        <v>837</v>
      </c>
      <c r="H899" s="389">
        <f>'Пр.4 ведом.21'!H788</f>
        <v>784.38300000000004</v>
      </c>
      <c r="I899" s="389">
        <f t="shared" si="137"/>
        <v>93.713620071684588</v>
      </c>
    </row>
    <row r="900" spans="1:9" s="191" customFormat="1" ht="31.5" x14ac:dyDescent="0.25">
      <c r="A900" s="29" t="s">
        <v>403</v>
      </c>
      <c r="B900" s="392" t="s">
        <v>935</v>
      </c>
      <c r="C900" s="399" t="s">
        <v>264</v>
      </c>
      <c r="D900" s="399" t="s">
        <v>213</v>
      </c>
      <c r="E900" s="2">
        <v>610</v>
      </c>
      <c r="F900" s="2">
        <v>906</v>
      </c>
      <c r="G900" s="389">
        <f>G899</f>
        <v>837</v>
      </c>
      <c r="H900" s="389">
        <f>H899</f>
        <v>784.38300000000004</v>
      </c>
      <c r="I900" s="389">
        <f t="shared" si="137"/>
        <v>93.713620071684588</v>
      </c>
    </row>
    <row r="901" spans="1:9" s="191" customFormat="1" ht="15.75" x14ac:dyDescent="0.25">
      <c r="A901" s="45" t="s">
        <v>265</v>
      </c>
      <c r="B901" s="392" t="s">
        <v>887</v>
      </c>
      <c r="C901" s="399" t="s">
        <v>264</v>
      </c>
      <c r="D901" s="399" t="s">
        <v>215</v>
      </c>
      <c r="E901" s="2"/>
      <c r="F901" s="2"/>
      <c r="G901" s="389">
        <f>G906+G902</f>
        <v>790.7</v>
      </c>
      <c r="H901" s="389">
        <f>H906+H902</f>
        <v>787.41300000000001</v>
      </c>
      <c r="I901" s="389">
        <f t="shared" si="137"/>
        <v>99.584292399139997</v>
      </c>
    </row>
    <row r="902" spans="1:9" s="191" customFormat="1" ht="31.5" x14ac:dyDescent="0.25">
      <c r="A902" s="98" t="s">
        <v>1003</v>
      </c>
      <c r="B902" s="392" t="s">
        <v>888</v>
      </c>
      <c r="C902" s="399" t="s">
        <v>264</v>
      </c>
      <c r="D902" s="399" t="s">
        <v>215</v>
      </c>
      <c r="E902" s="2"/>
      <c r="F902" s="2"/>
      <c r="G902" s="389">
        <f>G903</f>
        <v>494.4</v>
      </c>
      <c r="H902" s="389">
        <f>H903</f>
        <v>494.322</v>
      </c>
      <c r="I902" s="389">
        <f t="shared" si="137"/>
        <v>99.984223300970882</v>
      </c>
    </row>
    <row r="903" spans="1:9" s="191" customFormat="1" ht="31.5" x14ac:dyDescent="0.25">
      <c r="A903" s="396" t="s">
        <v>131</v>
      </c>
      <c r="B903" s="392" t="s">
        <v>888</v>
      </c>
      <c r="C903" s="399" t="s">
        <v>264</v>
      </c>
      <c r="D903" s="399" t="s">
        <v>215</v>
      </c>
      <c r="E903" s="2">
        <v>200</v>
      </c>
      <c r="F903" s="2"/>
      <c r="G903" s="389">
        <f>G904</f>
        <v>494.4</v>
      </c>
      <c r="H903" s="389">
        <f>H904</f>
        <v>494.322</v>
      </c>
      <c r="I903" s="389">
        <f t="shared" si="137"/>
        <v>99.984223300970882</v>
      </c>
    </row>
    <row r="904" spans="1:9" s="191" customFormat="1" ht="31.5" x14ac:dyDescent="0.25">
      <c r="A904" s="396" t="s">
        <v>133</v>
      </c>
      <c r="B904" s="392" t="s">
        <v>888</v>
      </c>
      <c r="C904" s="399" t="s">
        <v>264</v>
      </c>
      <c r="D904" s="399" t="s">
        <v>215</v>
      </c>
      <c r="E904" s="2">
        <v>240</v>
      </c>
      <c r="F904" s="2"/>
      <c r="G904" s="389">
        <f>'Пр.4 ведом.21'!G367</f>
        <v>494.4</v>
      </c>
      <c r="H904" s="389">
        <f>'Пр.4 ведом.21'!H367</f>
        <v>494.322</v>
      </c>
      <c r="I904" s="389">
        <f t="shared" si="137"/>
        <v>99.984223300970882</v>
      </c>
    </row>
    <row r="905" spans="1:9" s="191" customFormat="1" ht="47.25" x14ac:dyDescent="0.25">
      <c r="A905" s="45" t="s">
        <v>261</v>
      </c>
      <c r="B905" s="392" t="s">
        <v>888</v>
      </c>
      <c r="C905" s="399" t="s">
        <v>264</v>
      </c>
      <c r="D905" s="399" t="s">
        <v>215</v>
      </c>
      <c r="E905" s="2">
        <v>240</v>
      </c>
      <c r="F905" s="2">
        <v>903</v>
      </c>
      <c r="G905" s="389">
        <f>G904</f>
        <v>494.4</v>
      </c>
      <c r="H905" s="389">
        <f>H904</f>
        <v>494.322</v>
      </c>
      <c r="I905" s="389">
        <f t="shared" si="137"/>
        <v>99.984223300970882</v>
      </c>
    </row>
    <row r="906" spans="1:9" s="191" customFormat="1" ht="47.25" x14ac:dyDescent="0.25">
      <c r="A906" s="45" t="s">
        <v>780</v>
      </c>
      <c r="B906" s="392" t="s">
        <v>935</v>
      </c>
      <c r="C906" s="399" t="s">
        <v>264</v>
      </c>
      <c r="D906" s="399" t="s">
        <v>215</v>
      </c>
      <c r="E906" s="2"/>
      <c r="F906" s="2"/>
      <c r="G906" s="389">
        <f>G907</f>
        <v>296.3</v>
      </c>
      <c r="H906" s="389">
        <f>H907</f>
        <v>293.09100000000001</v>
      </c>
      <c r="I906" s="389">
        <f t="shared" si="137"/>
        <v>98.916976037799529</v>
      </c>
    </row>
    <row r="907" spans="1:9" s="191" customFormat="1" ht="31.5" x14ac:dyDescent="0.25">
      <c r="A907" s="29" t="s">
        <v>272</v>
      </c>
      <c r="B907" s="392" t="s">
        <v>935</v>
      </c>
      <c r="C907" s="399" t="s">
        <v>264</v>
      </c>
      <c r="D907" s="399" t="s">
        <v>215</v>
      </c>
      <c r="E907" s="2">
        <v>600</v>
      </c>
      <c r="F907" s="2"/>
      <c r="G907" s="389">
        <f>G908</f>
        <v>296.3</v>
      </c>
      <c r="H907" s="389">
        <f>H908</f>
        <v>293.09100000000001</v>
      </c>
      <c r="I907" s="389">
        <f t="shared" si="137"/>
        <v>98.916976037799529</v>
      </c>
    </row>
    <row r="908" spans="1:9" s="191" customFormat="1" ht="15.75" x14ac:dyDescent="0.25">
      <c r="A908" s="180" t="s">
        <v>274</v>
      </c>
      <c r="B908" s="392" t="s">
        <v>935</v>
      </c>
      <c r="C908" s="399" t="s">
        <v>264</v>
      </c>
      <c r="D908" s="399" t="s">
        <v>215</v>
      </c>
      <c r="E908" s="2">
        <v>610</v>
      </c>
      <c r="F908" s="2"/>
      <c r="G908" s="389">
        <f>'Пр.4 ведом.21'!G827</f>
        <v>296.3</v>
      </c>
      <c r="H908" s="389">
        <f>'Пр.4 ведом.21'!H827</f>
        <v>293.09100000000001</v>
      </c>
      <c r="I908" s="389">
        <f t="shared" si="137"/>
        <v>98.916976037799529</v>
      </c>
    </row>
    <row r="909" spans="1:9" s="191" customFormat="1" ht="31.5" x14ac:dyDescent="0.25">
      <c r="A909" s="29" t="s">
        <v>403</v>
      </c>
      <c r="B909" s="392" t="s">
        <v>935</v>
      </c>
      <c r="C909" s="399" t="s">
        <v>264</v>
      </c>
      <c r="D909" s="399" t="s">
        <v>215</v>
      </c>
      <c r="E909" s="2">
        <v>610</v>
      </c>
      <c r="F909" s="2">
        <v>906</v>
      </c>
      <c r="G909" s="389">
        <f>G908</f>
        <v>296.3</v>
      </c>
      <c r="H909" s="389">
        <f>H908</f>
        <v>293.09100000000001</v>
      </c>
      <c r="I909" s="389">
        <f t="shared" si="137"/>
        <v>98.916976037799529</v>
      </c>
    </row>
    <row r="910" spans="1:9" s="191" customFormat="1" ht="15.75" x14ac:dyDescent="0.25">
      <c r="A910" s="396" t="s">
        <v>298</v>
      </c>
      <c r="B910" s="392" t="s">
        <v>887</v>
      </c>
      <c r="C910" s="399" t="s">
        <v>299</v>
      </c>
      <c r="D910" s="399"/>
      <c r="E910" s="2"/>
      <c r="F910" s="2"/>
      <c r="G910" s="389">
        <f t="shared" ref="G910:H913" si="149">G911</f>
        <v>896</v>
      </c>
      <c r="H910" s="389">
        <f t="shared" si="149"/>
        <v>895.78499999999997</v>
      </c>
      <c r="I910" s="389">
        <f t="shared" si="137"/>
        <v>99.976004464285708</v>
      </c>
    </row>
    <row r="911" spans="1:9" s="191" customFormat="1" ht="15.75" x14ac:dyDescent="0.25">
      <c r="A911" s="396" t="s">
        <v>300</v>
      </c>
      <c r="B911" s="392" t="s">
        <v>887</v>
      </c>
      <c r="C911" s="399" t="s">
        <v>299</v>
      </c>
      <c r="D911" s="399" t="s">
        <v>118</v>
      </c>
      <c r="E911" s="2"/>
      <c r="F911" s="2"/>
      <c r="G911" s="389">
        <f t="shared" si="149"/>
        <v>896</v>
      </c>
      <c r="H911" s="389">
        <f t="shared" si="149"/>
        <v>895.78499999999997</v>
      </c>
      <c r="I911" s="389">
        <f t="shared" si="137"/>
        <v>99.976004464285708</v>
      </c>
    </row>
    <row r="912" spans="1:9" s="191" customFormat="1" ht="31.5" x14ac:dyDescent="0.25">
      <c r="A912" s="45" t="s">
        <v>778</v>
      </c>
      <c r="B912" s="392" t="s">
        <v>888</v>
      </c>
      <c r="C912" s="399" t="s">
        <v>299</v>
      </c>
      <c r="D912" s="399" t="s">
        <v>118</v>
      </c>
      <c r="E912" s="2"/>
      <c r="F912" s="2"/>
      <c r="G912" s="389">
        <f t="shared" si="149"/>
        <v>896</v>
      </c>
      <c r="H912" s="389">
        <f t="shared" si="149"/>
        <v>895.78499999999997</v>
      </c>
      <c r="I912" s="389">
        <f t="shared" si="137"/>
        <v>99.976004464285708</v>
      </c>
    </row>
    <row r="913" spans="1:9" s="191" customFormat="1" ht="31.5" x14ac:dyDescent="0.25">
      <c r="A913" s="396" t="s">
        <v>131</v>
      </c>
      <c r="B913" s="392" t="s">
        <v>888</v>
      </c>
      <c r="C913" s="399" t="s">
        <v>299</v>
      </c>
      <c r="D913" s="399" t="s">
        <v>118</v>
      </c>
      <c r="E913" s="2">
        <v>200</v>
      </c>
      <c r="F913" s="2"/>
      <c r="G913" s="389">
        <f t="shared" si="149"/>
        <v>896</v>
      </c>
      <c r="H913" s="389">
        <f t="shared" si="149"/>
        <v>895.78499999999997</v>
      </c>
      <c r="I913" s="389">
        <f t="shared" ref="I913:I976" si="150">H913/G913*100</f>
        <v>99.976004464285708</v>
      </c>
    </row>
    <row r="914" spans="1:9" s="191" customFormat="1" ht="31.5" x14ac:dyDescent="0.25">
      <c r="A914" s="396" t="s">
        <v>133</v>
      </c>
      <c r="B914" s="392" t="s">
        <v>888</v>
      </c>
      <c r="C914" s="399" t="s">
        <v>299</v>
      </c>
      <c r="D914" s="399" t="s">
        <v>118</v>
      </c>
      <c r="E914" s="2">
        <v>240</v>
      </c>
      <c r="F914" s="2"/>
      <c r="G914" s="389">
        <f>'Пр.4 ведом.21'!G456</f>
        <v>896</v>
      </c>
      <c r="H914" s="389">
        <f>'Пр.4 ведом.21'!H456</f>
        <v>895.78499999999997</v>
      </c>
      <c r="I914" s="389">
        <f t="shared" si="150"/>
        <v>99.976004464285708</v>
      </c>
    </row>
    <row r="915" spans="1:9" s="191" customFormat="1" ht="47.25" x14ac:dyDescent="0.25">
      <c r="A915" s="45" t="s">
        <v>261</v>
      </c>
      <c r="B915" s="392" t="s">
        <v>888</v>
      </c>
      <c r="C915" s="399" t="s">
        <v>299</v>
      </c>
      <c r="D915" s="399" t="s">
        <v>118</v>
      </c>
      <c r="E915" s="2">
        <v>240</v>
      </c>
      <c r="F915" s="2">
        <v>903</v>
      </c>
      <c r="G915" s="389">
        <f>G914</f>
        <v>896</v>
      </c>
      <c r="H915" s="389">
        <f>H914</f>
        <v>895.78499999999997</v>
      </c>
      <c r="I915" s="389">
        <f t="shared" si="150"/>
        <v>99.976004464285708</v>
      </c>
    </row>
    <row r="916" spans="1:9" s="191" customFormat="1" ht="15.75" x14ac:dyDescent="0.25">
      <c r="A916" s="396" t="s">
        <v>490</v>
      </c>
      <c r="B916" s="392" t="s">
        <v>887</v>
      </c>
      <c r="C916" s="399" t="s">
        <v>491</v>
      </c>
      <c r="D916" s="399"/>
      <c r="E916" s="2"/>
      <c r="F916" s="2"/>
      <c r="G916" s="389">
        <f t="shared" ref="G916:H919" si="151">G917</f>
        <v>542.29999999999995</v>
      </c>
      <c r="H916" s="389">
        <f t="shared" si="151"/>
        <v>500.95400000000001</v>
      </c>
      <c r="I916" s="389">
        <f t="shared" si="150"/>
        <v>92.375806749031909</v>
      </c>
    </row>
    <row r="917" spans="1:9" s="191" customFormat="1" ht="15.75" x14ac:dyDescent="0.25">
      <c r="A917" s="396" t="s">
        <v>1079</v>
      </c>
      <c r="B917" s="392" t="s">
        <v>887</v>
      </c>
      <c r="C917" s="399" t="s">
        <v>491</v>
      </c>
      <c r="D917" s="399" t="s">
        <v>118</v>
      </c>
      <c r="E917" s="2"/>
      <c r="F917" s="2"/>
      <c r="G917" s="389">
        <f t="shared" si="151"/>
        <v>542.29999999999995</v>
      </c>
      <c r="H917" s="389">
        <f t="shared" si="151"/>
        <v>500.95400000000001</v>
      </c>
      <c r="I917" s="389">
        <f t="shared" si="150"/>
        <v>92.375806749031909</v>
      </c>
    </row>
    <row r="918" spans="1:9" s="191" customFormat="1" ht="47.25" x14ac:dyDescent="0.25">
      <c r="A918" s="45" t="s">
        <v>780</v>
      </c>
      <c r="B918" s="392" t="s">
        <v>935</v>
      </c>
      <c r="C918" s="399" t="s">
        <v>491</v>
      </c>
      <c r="D918" s="399" t="s">
        <v>118</v>
      </c>
      <c r="E918" s="2"/>
      <c r="F918" s="2"/>
      <c r="G918" s="389">
        <f t="shared" si="151"/>
        <v>542.29999999999995</v>
      </c>
      <c r="H918" s="389">
        <f t="shared" si="151"/>
        <v>500.95400000000001</v>
      </c>
      <c r="I918" s="389">
        <f t="shared" si="150"/>
        <v>92.375806749031909</v>
      </c>
    </row>
    <row r="919" spans="1:9" s="191" customFormat="1" ht="31.5" x14ac:dyDescent="0.25">
      <c r="A919" s="29" t="s">
        <v>272</v>
      </c>
      <c r="B919" s="392" t="s">
        <v>935</v>
      </c>
      <c r="C919" s="399" t="s">
        <v>491</v>
      </c>
      <c r="D919" s="399" t="s">
        <v>118</v>
      </c>
      <c r="E919" s="2">
        <v>600</v>
      </c>
      <c r="F919" s="2"/>
      <c r="G919" s="389">
        <f t="shared" si="151"/>
        <v>542.29999999999995</v>
      </c>
      <c r="H919" s="389">
        <f t="shared" si="151"/>
        <v>500.95400000000001</v>
      </c>
      <c r="I919" s="389">
        <f t="shared" si="150"/>
        <v>92.375806749031909</v>
      </c>
    </row>
    <row r="920" spans="1:9" s="191" customFormat="1" ht="15.75" x14ac:dyDescent="0.25">
      <c r="A920" s="180" t="s">
        <v>274</v>
      </c>
      <c r="B920" s="392" t="s">
        <v>935</v>
      </c>
      <c r="C920" s="399" t="s">
        <v>491</v>
      </c>
      <c r="D920" s="399" t="s">
        <v>118</v>
      </c>
      <c r="E920" s="2">
        <v>610</v>
      </c>
      <c r="F920" s="2"/>
      <c r="G920" s="389">
        <f>'Пр.4 ведом.21'!G923</f>
        <v>542.29999999999995</v>
      </c>
      <c r="H920" s="389">
        <f>'Пр.4 ведом.21'!H923</f>
        <v>500.95400000000001</v>
      </c>
      <c r="I920" s="389">
        <f t="shared" si="150"/>
        <v>92.375806749031909</v>
      </c>
    </row>
    <row r="921" spans="1:9" s="191" customFormat="1" ht="31.5" x14ac:dyDescent="0.25">
      <c r="A921" s="45" t="s">
        <v>480</v>
      </c>
      <c r="B921" s="392" t="s">
        <v>935</v>
      </c>
      <c r="C921" s="399" t="s">
        <v>491</v>
      </c>
      <c r="D921" s="399" t="s">
        <v>118</v>
      </c>
      <c r="E921" s="2">
        <v>610</v>
      </c>
      <c r="F921" s="2">
        <v>907</v>
      </c>
      <c r="G921" s="389">
        <f>G920</f>
        <v>542.29999999999995</v>
      </c>
      <c r="H921" s="389">
        <f>H920</f>
        <v>500.95400000000001</v>
      </c>
      <c r="I921" s="389">
        <f t="shared" si="150"/>
        <v>92.375806749031909</v>
      </c>
    </row>
    <row r="922" spans="1:9" s="191" customFormat="1" ht="15.75" x14ac:dyDescent="0.25">
      <c r="A922" s="29" t="s">
        <v>582</v>
      </c>
      <c r="B922" s="392" t="s">
        <v>887</v>
      </c>
      <c r="C922" s="399" t="s">
        <v>238</v>
      </c>
      <c r="D922" s="399"/>
      <c r="E922" s="2"/>
      <c r="F922" s="2"/>
      <c r="G922" s="389">
        <f t="shared" ref="G922:H925" si="152">G923</f>
        <v>78</v>
      </c>
      <c r="H922" s="389">
        <f t="shared" si="152"/>
        <v>78</v>
      </c>
      <c r="I922" s="389">
        <f t="shared" si="150"/>
        <v>100</v>
      </c>
    </row>
    <row r="923" spans="1:9" s="191" customFormat="1" ht="15.75" x14ac:dyDescent="0.25">
      <c r="A923" s="29" t="s">
        <v>583</v>
      </c>
      <c r="B923" s="392" t="s">
        <v>887</v>
      </c>
      <c r="C923" s="399" t="s">
        <v>238</v>
      </c>
      <c r="D923" s="399" t="s">
        <v>213</v>
      </c>
      <c r="E923" s="2"/>
      <c r="F923" s="2"/>
      <c r="G923" s="389">
        <f t="shared" si="152"/>
        <v>78</v>
      </c>
      <c r="H923" s="389">
        <f t="shared" si="152"/>
        <v>78</v>
      </c>
      <c r="I923" s="389">
        <f t="shared" si="150"/>
        <v>100</v>
      </c>
    </row>
    <row r="924" spans="1:9" s="191" customFormat="1" ht="31.5" x14ac:dyDescent="0.25">
      <c r="A924" s="45" t="s">
        <v>778</v>
      </c>
      <c r="B924" s="392" t="s">
        <v>888</v>
      </c>
      <c r="C924" s="399" t="s">
        <v>238</v>
      </c>
      <c r="D924" s="399" t="s">
        <v>213</v>
      </c>
      <c r="E924" s="2"/>
      <c r="F924" s="2"/>
      <c r="G924" s="389">
        <f t="shared" si="152"/>
        <v>78</v>
      </c>
      <c r="H924" s="389">
        <f t="shared" si="152"/>
        <v>78</v>
      </c>
      <c r="I924" s="389">
        <f t="shared" si="150"/>
        <v>100</v>
      </c>
    </row>
    <row r="925" spans="1:9" s="191" customFormat="1" ht="31.5" x14ac:dyDescent="0.25">
      <c r="A925" s="396" t="s">
        <v>131</v>
      </c>
      <c r="B925" s="392" t="s">
        <v>888</v>
      </c>
      <c r="C925" s="399" t="s">
        <v>238</v>
      </c>
      <c r="D925" s="399" t="s">
        <v>213</v>
      </c>
      <c r="E925" s="2">
        <v>200</v>
      </c>
      <c r="F925" s="2"/>
      <c r="G925" s="389">
        <f t="shared" si="152"/>
        <v>78</v>
      </c>
      <c r="H925" s="389">
        <f t="shared" si="152"/>
        <v>78</v>
      </c>
      <c r="I925" s="389">
        <f t="shared" si="150"/>
        <v>100</v>
      </c>
    </row>
    <row r="926" spans="1:9" s="191" customFormat="1" ht="31.5" x14ac:dyDescent="0.25">
      <c r="A926" s="396" t="s">
        <v>133</v>
      </c>
      <c r="B926" s="392" t="s">
        <v>888</v>
      </c>
      <c r="C926" s="399" t="s">
        <v>238</v>
      </c>
      <c r="D926" s="399" t="s">
        <v>213</v>
      </c>
      <c r="E926" s="2">
        <v>240</v>
      </c>
      <c r="F926" s="2"/>
      <c r="G926" s="389">
        <f>'Пр.4 ведом.21'!G550</f>
        <v>78</v>
      </c>
      <c r="H926" s="389">
        <f>'Пр.4 ведом.21'!H550</f>
        <v>78</v>
      </c>
      <c r="I926" s="389">
        <f t="shared" si="150"/>
        <v>100</v>
      </c>
    </row>
    <row r="927" spans="1:9" s="191" customFormat="1" ht="47.25" x14ac:dyDescent="0.25">
      <c r="A927" s="45" t="s">
        <v>261</v>
      </c>
      <c r="B927" s="392" t="s">
        <v>888</v>
      </c>
      <c r="C927" s="399" t="s">
        <v>238</v>
      </c>
      <c r="D927" s="399" t="s">
        <v>213</v>
      </c>
      <c r="E927" s="2">
        <v>240</v>
      </c>
      <c r="F927" s="2">
        <v>903</v>
      </c>
      <c r="G927" s="389">
        <f>G924</f>
        <v>78</v>
      </c>
      <c r="H927" s="389">
        <f>H924</f>
        <v>78</v>
      </c>
      <c r="I927" s="389">
        <f t="shared" si="150"/>
        <v>100</v>
      </c>
    </row>
    <row r="928" spans="1:9" s="191" customFormat="1" ht="31.5" x14ac:dyDescent="0.25">
      <c r="A928" s="402" t="s">
        <v>1022</v>
      </c>
      <c r="B928" s="395" t="s">
        <v>852</v>
      </c>
      <c r="C928" s="7"/>
      <c r="D928" s="7"/>
      <c r="E928" s="3"/>
      <c r="F928" s="3"/>
      <c r="G928" s="388">
        <f t="shared" ref="G928:H930" si="153">G929</f>
        <v>15</v>
      </c>
      <c r="H928" s="388">
        <f t="shared" si="153"/>
        <v>15</v>
      </c>
      <c r="I928" s="492">
        <f t="shared" si="150"/>
        <v>100</v>
      </c>
    </row>
    <row r="929" spans="1:9" s="191" customFormat="1" ht="15.75" x14ac:dyDescent="0.25">
      <c r="A929" s="208" t="s">
        <v>117</v>
      </c>
      <c r="B929" s="392" t="s">
        <v>852</v>
      </c>
      <c r="C929" s="399" t="s">
        <v>118</v>
      </c>
      <c r="D929" s="399"/>
      <c r="E929" s="2"/>
      <c r="F929" s="2"/>
      <c r="G929" s="389">
        <f t="shared" si="153"/>
        <v>15</v>
      </c>
      <c r="H929" s="389">
        <f t="shared" si="153"/>
        <v>15</v>
      </c>
      <c r="I929" s="389">
        <f t="shared" si="150"/>
        <v>100</v>
      </c>
    </row>
    <row r="930" spans="1:9" s="191" customFormat="1" ht="15.75" x14ac:dyDescent="0.25">
      <c r="A930" s="208" t="s">
        <v>139</v>
      </c>
      <c r="B930" s="392" t="s">
        <v>852</v>
      </c>
      <c r="C930" s="399" t="s">
        <v>118</v>
      </c>
      <c r="D930" s="399" t="s">
        <v>140</v>
      </c>
      <c r="E930" s="2"/>
      <c r="F930" s="2"/>
      <c r="G930" s="389">
        <f t="shared" si="153"/>
        <v>15</v>
      </c>
      <c r="H930" s="389">
        <f t="shared" si="153"/>
        <v>15</v>
      </c>
      <c r="I930" s="389">
        <f t="shared" si="150"/>
        <v>100</v>
      </c>
    </row>
    <row r="931" spans="1:9" ht="47.25" x14ac:dyDescent="0.25">
      <c r="A931" s="237" t="s">
        <v>1004</v>
      </c>
      <c r="B931" s="392" t="s">
        <v>847</v>
      </c>
      <c r="C931" s="399" t="s">
        <v>118</v>
      </c>
      <c r="D931" s="399" t="s">
        <v>140</v>
      </c>
      <c r="E931" s="2"/>
      <c r="F931" s="2"/>
      <c r="G931" s="389">
        <f t="shared" ref="G931:H932" si="154">G932</f>
        <v>15</v>
      </c>
      <c r="H931" s="389">
        <f t="shared" si="154"/>
        <v>15</v>
      </c>
      <c r="I931" s="389">
        <f t="shared" si="150"/>
        <v>100</v>
      </c>
    </row>
    <row r="932" spans="1:9" ht="31.5" x14ac:dyDescent="0.25">
      <c r="A932" s="396" t="s">
        <v>131</v>
      </c>
      <c r="B932" s="392" t="s">
        <v>847</v>
      </c>
      <c r="C932" s="399" t="s">
        <v>118</v>
      </c>
      <c r="D932" s="399" t="s">
        <v>140</v>
      </c>
      <c r="E932" s="2">
        <v>200</v>
      </c>
      <c r="F932" s="2"/>
      <c r="G932" s="389">
        <f t="shared" si="154"/>
        <v>15</v>
      </c>
      <c r="H932" s="389">
        <f t="shared" si="154"/>
        <v>15</v>
      </c>
      <c r="I932" s="389">
        <f t="shared" si="150"/>
        <v>100</v>
      </c>
    </row>
    <row r="933" spans="1:9" ht="31.5" x14ac:dyDescent="0.25">
      <c r="A933" s="396" t="s">
        <v>133</v>
      </c>
      <c r="B933" s="392" t="s">
        <v>847</v>
      </c>
      <c r="C933" s="399" t="s">
        <v>118</v>
      </c>
      <c r="D933" s="399" t="s">
        <v>140</v>
      </c>
      <c r="E933" s="2">
        <v>240</v>
      </c>
      <c r="F933" s="2"/>
      <c r="G933" s="389">
        <f>'Пр.4 ведом.21'!G164</f>
        <v>15</v>
      </c>
      <c r="H933" s="389">
        <f>'Пр.4 ведом.21'!H164</f>
        <v>15</v>
      </c>
      <c r="I933" s="389">
        <f t="shared" si="150"/>
        <v>100</v>
      </c>
    </row>
    <row r="934" spans="1:9" ht="20.25" customHeight="1" x14ac:dyDescent="0.25">
      <c r="A934" s="29" t="s">
        <v>148</v>
      </c>
      <c r="B934" s="392" t="s">
        <v>847</v>
      </c>
      <c r="C934" s="399" t="s">
        <v>118</v>
      </c>
      <c r="D934" s="399" t="s">
        <v>140</v>
      </c>
      <c r="E934" s="2">
        <v>240</v>
      </c>
      <c r="F934" s="2">
        <v>902</v>
      </c>
      <c r="G934" s="389">
        <f>G933</f>
        <v>15</v>
      </c>
      <c r="H934" s="389">
        <f>H933</f>
        <v>15</v>
      </c>
      <c r="I934" s="389">
        <f t="shared" si="150"/>
        <v>100</v>
      </c>
    </row>
    <row r="935" spans="1:9" s="377" customFormat="1" ht="33" customHeight="1" x14ac:dyDescent="0.25">
      <c r="A935" s="394" t="s">
        <v>1551</v>
      </c>
      <c r="B935" s="395" t="s">
        <v>1552</v>
      </c>
      <c r="C935" s="7"/>
      <c r="D935" s="7"/>
      <c r="E935" s="3"/>
      <c r="F935" s="3"/>
      <c r="G935" s="388">
        <f>G936</f>
        <v>600</v>
      </c>
      <c r="H935" s="388">
        <f>H936</f>
        <v>506.315</v>
      </c>
      <c r="I935" s="492">
        <f t="shared" si="150"/>
        <v>84.385833333333338</v>
      </c>
    </row>
    <row r="936" spans="1:9" s="377" customFormat="1" ht="31.5" x14ac:dyDescent="0.25">
      <c r="A936" s="396" t="s">
        <v>222</v>
      </c>
      <c r="B936" s="392" t="s">
        <v>1552</v>
      </c>
      <c r="C936" s="399" t="s">
        <v>215</v>
      </c>
      <c r="D936" s="399"/>
      <c r="E936" s="2"/>
      <c r="F936" s="2"/>
      <c r="G936" s="389">
        <f>G937</f>
        <v>600</v>
      </c>
      <c r="H936" s="389">
        <f>H937</f>
        <v>506.315</v>
      </c>
      <c r="I936" s="389">
        <f t="shared" si="150"/>
        <v>84.385833333333338</v>
      </c>
    </row>
    <row r="937" spans="1:9" s="377" customFormat="1" ht="47.25" x14ac:dyDescent="0.25">
      <c r="A937" s="396" t="s">
        <v>1344</v>
      </c>
      <c r="B937" s="392" t="s">
        <v>1552</v>
      </c>
      <c r="C937" s="399" t="s">
        <v>215</v>
      </c>
      <c r="D937" s="399" t="s">
        <v>244</v>
      </c>
      <c r="E937" s="2"/>
      <c r="F937" s="2"/>
      <c r="G937" s="389">
        <f>G938+G942</f>
        <v>600</v>
      </c>
      <c r="H937" s="389">
        <f>H938+H942</f>
        <v>506.315</v>
      </c>
      <c r="I937" s="389">
        <f t="shared" si="150"/>
        <v>84.385833333333338</v>
      </c>
    </row>
    <row r="938" spans="1:9" s="377" customFormat="1" ht="20.25" hidden="1" customHeight="1" x14ac:dyDescent="0.25">
      <c r="A938" s="396" t="s">
        <v>230</v>
      </c>
      <c r="B938" s="392" t="s">
        <v>1553</v>
      </c>
      <c r="C938" s="399" t="s">
        <v>215</v>
      </c>
      <c r="D938" s="399" t="s">
        <v>244</v>
      </c>
      <c r="E938" s="2"/>
      <c r="F938" s="2"/>
      <c r="G938" s="389">
        <f>G939</f>
        <v>0</v>
      </c>
      <c r="H938" s="389">
        <f>H939</f>
        <v>0</v>
      </c>
      <c r="I938" s="389" t="e">
        <f t="shared" si="150"/>
        <v>#DIV/0!</v>
      </c>
    </row>
    <row r="939" spans="1:9" s="377" customFormat="1" ht="31.5" hidden="1" x14ac:dyDescent="0.25">
      <c r="A939" s="396" t="s">
        <v>131</v>
      </c>
      <c r="B939" s="392" t="s">
        <v>1553</v>
      </c>
      <c r="C939" s="399" t="s">
        <v>215</v>
      </c>
      <c r="D939" s="399" t="s">
        <v>244</v>
      </c>
      <c r="E939" s="2">
        <v>200</v>
      </c>
      <c r="F939" s="2"/>
      <c r="G939" s="389">
        <f>G940</f>
        <v>0</v>
      </c>
      <c r="H939" s="389">
        <f>H940</f>
        <v>0</v>
      </c>
      <c r="I939" s="389" t="e">
        <f t="shared" si="150"/>
        <v>#DIV/0!</v>
      </c>
    </row>
    <row r="940" spans="1:9" s="377" customFormat="1" ht="31.5" hidden="1" x14ac:dyDescent="0.25">
      <c r="A940" s="396" t="s">
        <v>133</v>
      </c>
      <c r="B940" s="392" t="s">
        <v>1553</v>
      </c>
      <c r="C940" s="399" t="s">
        <v>215</v>
      </c>
      <c r="D940" s="399" t="s">
        <v>244</v>
      </c>
      <c r="E940" s="2">
        <v>240</v>
      </c>
      <c r="F940" s="2"/>
      <c r="G940" s="389">
        <f>'Пр.4 ведом.21'!G208</f>
        <v>0</v>
      </c>
      <c r="H940" s="389">
        <f>'Пр.4 ведом.21'!H208</f>
        <v>0</v>
      </c>
      <c r="I940" s="389" t="e">
        <f t="shared" si="150"/>
        <v>#DIV/0!</v>
      </c>
    </row>
    <row r="941" spans="1:9" s="377" customFormat="1" ht="15.75" hidden="1" x14ac:dyDescent="0.25">
      <c r="A941" s="29" t="s">
        <v>148</v>
      </c>
      <c r="B941" s="392" t="s">
        <v>1553</v>
      </c>
      <c r="C941" s="399" t="s">
        <v>215</v>
      </c>
      <c r="D941" s="399" t="s">
        <v>244</v>
      </c>
      <c r="E941" s="2">
        <v>240</v>
      </c>
      <c r="F941" s="2">
        <v>902</v>
      </c>
      <c r="G941" s="389">
        <f>G940</f>
        <v>0</v>
      </c>
      <c r="H941" s="389">
        <f>H940</f>
        <v>0</v>
      </c>
      <c r="I941" s="389" t="e">
        <f t="shared" si="150"/>
        <v>#DIV/0!</v>
      </c>
    </row>
    <row r="942" spans="1:9" s="387" customFormat="1" ht="47.25" x14ac:dyDescent="0.25">
      <c r="A942" s="396" t="s">
        <v>1578</v>
      </c>
      <c r="B942" s="392" t="s">
        <v>1579</v>
      </c>
      <c r="C942" s="399" t="s">
        <v>215</v>
      </c>
      <c r="D942" s="399" t="s">
        <v>244</v>
      </c>
      <c r="E942" s="2"/>
      <c r="F942" s="2"/>
      <c r="G942" s="389">
        <f>G943</f>
        <v>600</v>
      </c>
      <c r="H942" s="389">
        <f>H943</f>
        <v>506.315</v>
      </c>
      <c r="I942" s="389">
        <f t="shared" si="150"/>
        <v>84.385833333333338</v>
      </c>
    </row>
    <row r="943" spans="1:9" s="387" customFormat="1" ht="15.75" x14ac:dyDescent="0.25">
      <c r="A943" s="396" t="s">
        <v>248</v>
      </c>
      <c r="B943" s="392" t="s">
        <v>1579</v>
      </c>
      <c r="C943" s="399" t="s">
        <v>215</v>
      </c>
      <c r="D943" s="399" t="s">
        <v>244</v>
      </c>
      <c r="E943" s="2" t="s">
        <v>249</v>
      </c>
      <c r="F943" s="2"/>
      <c r="G943" s="389">
        <f>G944</f>
        <v>600</v>
      </c>
      <c r="H943" s="389">
        <f>H944</f>
        <v>506.315</v>
      </c>
      <c r="I943" s="389">
        <f t="shared" si="150"/>
        <v>84.385833333333338</v>
      </c>
    </row>
    <row r="944" spans="1:9" s="387" customFormat="1" ht="31.5" x14ac:dyDescent="0.25">
      <c r="A944" s="396" t="s">
        <v>250</v>
      </c>
      <c r="B944" s="392" t="s">
        <v>1579</v>
      </c>
      <c r="C944" s="399" t="s">
        <v>215</v>
      </c>
      <c r="D944" s="399" t="s">
        <v>244</v>
      </c>
      <c r="E944" s="2" t="s">
        <v>251</v>
      </c>
      <c r="F944" s="2"/>
      <c r="G944" s="389">
        <f>'Пр.4 ведом.21'!G213</f>
        <v>600</v>
      </c>
      <c r="H944" s="389">
        <f>'Пр.4 ведом.21'!H213</f>
        <v>506.315</v>
      </c>
      <c r="I944" s="389">
        <f t="shared" si="150"/>
        <v>84.385833333333338</v>
      </c>
    </row>
    <row r="945" spans="1:9" s="387" customFormat="1" ht="15.75" x14ac:dyDescent="0.25">
      <c r="A945" s="29" t="s">
        <v>148</v>
      </c>
      <c r="B945" s="392" t="s">
        <v>1579</v>
      </c>
      <c r="C945" s="399" t="s">
        <v>215</v>
      </c>
      <c r="D945" s="399" t="s">
        <v>244</v>
      </c>
      <c r="E945" s="2">
        <v>320</v>
      </c>
      <c r="F945" s="2">
        <v>902</v>
      </c>
      <c r="G945" s="389">
        <f>G944</f>
        <v>600</v>
      </c>
      <c r="H945" s="389">
        <f>H944</f>
        <v>506.315</v>
      </c>
      <c r="I945" s="389">
        <f t="shared" si="150"/>
        <v>84.385833333333338</v>
      </c>
    </row>
    <row r="946" spans="1:9" ht="65.25" customHeight="1" x14ac:dyDescent="0.25">
      <c r="A946" s="394" t="s">
        <v>1514</v>
      </c>
      <c r="B946" s="395" t="s">
        <v>711</v>
      </c>
      <c r="C946" s="7"/>
      <c r="D946" s="7"/>
      <c r="E946" s="3"/>
      <c r="F946" s="3"/>
      <c r="G946" s="388">
        <f>G947+G954</f>
        <v>24365.510000000002</v>
      </c>
      <c r="H946" s="388">
        <f>H947+H954</f>
        <v>22808.713</v>
      </c>
      <c r="I946" s="492">
        <f t="shared" si="150"/>
        <v>93.610652927026763</v>
      </c>
    </row>
    <row r="947" spans="1:9" s="191" customFormat="1" ht="31.5" x14ac:dyDescent="0.25">
      <c r="A947" s="394" t="s">
        <v>1067</v>
      </c>
      <c r="B947" s="395" t="s">
        <v>1088</v>
      </c>
      <c r="C947" s="7"/>
      <c r="D947" s="7"/>
      <c r="E947" s="3"/>
      <c r="F947" s="3"/>
      <c r="G947" s="388">
        <f>G948</f>
        <v>22809.004000000001</v>
      </c>
      <c r="H947" s="388">
        <f>H948</f>
        <v>22808.713</v>
      </c>
      <c r="I947" s="492">
        <f t="shared" si="150"/>
        <v>99.998724188044335</v>
      </c>
    </row>
    <row r="948" spans="1:9" ht="15.75" x14ac:dyDescent="0.25">
      <c r="A948" s="396" t="s">
        <v>390</v>
      </c>
      <c r="B948" s="392" t="s">
        <v>834</v>
      </c>
      <c r="C948" s="399" t="s">
        <v>234</v>
      </c>
      <c r="D948" s="399"/>
      <c r="E948" s="2"/>
      <c r="F948" s="2"/>
      <c r="G948" s="389">
        <f t="shared" ref="G948:H951" si="155">G949</f>
        <v>22809.004000000001</v>
      </c>
      <c r="H948" s="389">
        <f t="shared" si="155"/>
        <v>22808.713</v>
      </c>
      <c r="I948" s="389">
        <f t="shared" si="150"/>
        <v>99.998724188044335</v>
      </c>
    </row>
    <row r="949" spans="1:9" ht="15.75" x14ac:dyDescent="0.25">
      <c r="A949" s="396" t="s">
        <v>541</v>
      </c>
      <c r="B949" s="392" t="s">
        <v>834</v>
      </c>
      <c r="C949" s="399" t="s">
        <v>234</v>
      </c>
      <c r="D949" s="399" t="s">
        <v>215</v>
      </c>
      <c r="E949" s="2"/>
      <c r="F949" s="2"/>
      <c r="G949" s="389">
        <f t="shared" si="155"/>
        <v>22809.004000000001</v>
      </c>
      <c r="H949" s="389">
        <f t="shared" si="155"/>
        <v>22808.713</v>
      </c>
      <c r="I949" s="389">
        <f t="shared" si="150"/>
        <v>99.998724188044335</v>
      </c>
    </row>
    <row r="950" spans="1:9" ht="47.25" x14ac:dyDescent="0.25">
      <c r="A950" s="80" t="s">
        <v>693</v>
      </c>
      <c r="B950" s="392" t="s">
        <v>834</v>
      </c>
      <c r="C950" s="399" t="s">
        <v>234</v>
      </c>
      <c r="D950" s="399" t="s">
        <v>215</v>
      </c>
      <c r="E950" s="2"/>
      <c r="F950" s="2"/>
      <c r="G950" s="389">
        <f t="shared" si="155"/>
        <v>22809.004000000001</v>
      </c>
      <c r="H950" s="389">
        <f t="shared" si="155"/>
        <v>22808.713</v>
      </c>
      <c r="I950" s="389">
        <f t="shared" si="150"/>
        <v>99.998724188044335</v>
      </c>
    </row>
    <row r="951" spans="1:9" ht="31.5" x14ac:dyDescent="0.25">
      <c r="A951" s="396" t="s">
        <v>131</v>
      </c>
      <c r="B951" s="392" t="s">
        <v>834</v>
      </c>
      <c r="C951" s="399" t="s">
        <v>234</v>
      </c>
      <c r="D951" s="399" t="s">
        <v>215</v>
      </c>
      <c r="E951" s="2">
        <v>200</v>
      </c>
      <c r="F951" s="2"/>
      <c r="G951" s="389">
        <f t="shared" si="155"/>
        <v>22809.004000000001</v>
      </c>
      <c r="H951" s="389">
        <f t="shared" si="155"/>
        <v>22808.713</v>
      </c>
      <c r="I951" s="389">
        <f t="shared" si="150"/>
        <v>99.998724188044335</v>
      </c>
    </row>
    <row r="952" spans="1:9" ht="31.5" x14ac:dyDescent="0.25">
      <c r="A952" s="396" t="s">
        <v>133</v>
      </c>
      <c r="B952" s="392" t="s">
        <v>834</v>
      </c>
      <c r="C952" s="399" t="s">
        <v>234</v>
      </c>
      <c r="D952" s="399" t="s">
        <v>215</v>
      </c>
      <c r="E952" s="2">
        <v>240</v>
      </c>
      <c r="F952" s="2"/>
      <c r="G952" s="389">
        <f>'Пр.4 ведом.21'!G1151</f>
        <v>22809.004000000001</v>
      </c>
      <c r="H952" s="389">
        <f>'Пр.4 ведом.21'!H1151</f>
        <v>22808.713</v>
      </c>
      <c r="I952" s="389">
        <f t="shared" si="150"/>
        <v>99.998724188044335</v>
      </c>
    </row>
    <row r="953" spans="1:9" ht="34.5" customHeight="1" x14ac:dyDescent="0.25">
      <c r="A953" s="45" t="s">
        <v>623</v>
      </c>
      <c r="B953" s="392" t="s">
        <v>834</v>
      </c>
      <c r="C953" s="399" t="s">
        <v>234</v>
      </c>
      <c r="D953" s="399" t="s">
        <v>215</v>
      </c>
      <c r="E953" s="2">
        <v>240</v>
      </c>
      <c r="F953" s="2">
        <v>908</v>
      </c>
      <c r="G953" s="389">
        <f t="shared" ref="G953:H953" si="156">G946</f>
        <v>24365.510000000002</v>
      </c>
      <c r="H953" s="389">
        <f t="shared" si="156"/>
        <v>22808.713</v>
      </c>
      <c r="I953" s="389">
        <f t="shared" si="150"/>
        <v>93.610652927026763</v>
      </c>
    </row>
    <row r="954" spans="1:9" s="387" customFormat="1" ht="110.25" x14ac:dyDescent="0.25">
      <c r="A954" s="394" t="s">
        <v>1601</v>
      </c>
      <c r="B954" s="395" t="s">
        <v>1602</v>
      </c>
      <c r="C954" s="7"/>
      <c r="D954" s="7"/>
      <c r="E954" s="3"/>
      <c r="F954" s="3"/>
      <c r="G954" s="388">
        <f>G955</f>
        <v>1556.5060000000001</v>
      </c>
      <c r="H954" s="388">
        <f>H955</f>
        <v>0</v>
      </c>
      <c r="I954" s="492">
        <f t="shared" si="150"/>
        <v>0</v>
      </c>
    </row>
    <row r="955" spans="1:9" s="387" customFormat="1" ht="15.75" x14ac:dyDescent="0.25">
      <c r="A955" s="396" t="s">
        <v>390</v>
      </c>
      <c r="B955" s="392" t="s">
        <v>1603</v>
      </c>
      <c r="C955" s="399" t="s">
        <v>234</v>
      </c>
      <c r="D955" s="399"/>
      <c r="E955" s="2"/>
      <c r="F955" s="2"/>
      <c r="G955" s="389">
        <f t="shared" ref="G955:H958" si="157">G956</f>
        <v>1556.5060000000001</v>
      </c>
      <c r="H955" s="389">
        <f t="shared" si="157"/>
        <v>0</v>
      </c>
      <c r="I955" s="389">
        <f t="shared" si="150"/>
        <v>0</v>
      </c>
    </row>
    <row r="956" spans="1:9" s="387" customFormat="1" ht="15.75" x14ac:dyDescent="0.25">
      <c r="A956" s="396" t="s">
        <v>541</v>
      </c>
      <c r="B956" s="392" t="s">
        <v>1603</v>
      </c>
      <c r="C956" s="399" t="s">
        <v>234</v>
      </c>
      <c r="D956" s="399" t="s">
        <v>215</v>
      </c>
      <c r="E956" s="2"/>
      <c r="F956" s="2"/>
      <c r="G956" s="389">
        <f t="shared" si="157"/>
        <v>1556.5060000000001</v>
      </c>
      <c r="H956" s="389">
        <f t="shared" si="157"/>
        <v>0</v>
      </c>
      <c r="I956" s="389">
        <f t="shared" si="150"/>
        <v>0</v>
      </c>
    </row>
    <row r="957" spans="1:9" s="387" customFormat="1" ht="94.5" x14ac:dyDescent="0.25">
      <c r="A957" s="80" t="s">
        <v>1644</v>
      </c>
      <c r="B957" s="392" t="s">
        <v>1603</v>
      </c>
      <c r="C957" s="399" t="s">
        <v>234</v>
      </c>
      <c r="D957" s="399" t="s">
        <v>215</v>
      </c>
      <c r="E957" s="2"/>
      <c r="F957" s="2"/>
      <c r="G957" s="389">
        <f t="shared" si="157"/>
        <v>1556.5060000000001</v>
      </c>
      <c r="H957" s="389">
        <f t="shared" si="157"/>
        <v>0</v>
      </c>
      <c r="I957" s="389">
        <f t="shared" si="150"/>
        <v>0</v>
      </c>
    </row>
    <row r="958" spans="1:9" s="387" customFormat="1" ht="31.5" x14ac:dyDescent="0.25">
      <c r="A958" s="396" t="s">
        <v>131</v>
      </c>
      <c r="B958" s="392" t="s">
        <v>1603</v>
      </c>
      <c r="C958" s="399" t="s">
        <v>234</v>
      </c>
      <c r="D958" s="399" t="s">
        <v>215</v>
      </c>
      <c r="E958" s="2">
        <v>200</v>
      </c>
      <c r="F958" s="2"/>
      <c r="G958" s="389">
        <f t="shared" si="157"/>
        <v>1556.5060000000001</v>
      </c>
      <c r="H958" s="389">
        <f t="shared" si="157"/>
        <v>0</v>
      </c>
      <c r="I958" s="389">
        <f t="shared" si="150"/>
        <v>0</v>
      </c>
    </row>
    <row r="959" spans="1:9" s="387" customFormat="1" ht="31.5" x14ac:dyDescent="0.25">
      <c r="A959" s="396" t="s">
        <v>133</v>
      </c>
      <c r="B959" s="392" t="s">
        <v>1603</v>
      </c>
      <c r="C959" s="399" t="s">
        <v>234</v>
      </c>
      <c r="D959" s="399" t="s">
        <v>215</v>
      </c>
      <c r="E959" s="2">
        <v>240</v>
      </c>
      <c r="F959" s="2"/>
      <c r="G959" s="389">
        <f>'Пр.4 ведом.21'!G1155</f>
        <v>1556.5060000000001</v>
      </c>
      <c r="H959" s="389">
        <f>'Пр.4 ведом.21'!H1155</f>
        <v>0</v>
      </c>
      <c r="I959" s="389">
        <f t="shared" si="150"/>
        <v>0</v>
      </c>
    </row>
    <row r="960" spans="1:9" s="387" customFormat="1" ht="34.5" customHeight="1" x14ac:dyDescent="0.25">
      <c r="A960" s="45" t="s">
        <v>623</v>
      </c>
      <c r="B960" s="392" t="s">
        <v>1603</v>
      </c>
      <c r="C960" s="399" t="s">
        <v>234</v>
      </c>
      <c r="D960" s="399" t="s">
        <v>215</v>
      </c>
      <c r="E960" s="2">
        <v>240</v>
      </c>
      <c r="F960" s="2">
        <v>908</v>
      </c>
      <c r="G960" s="389">
        <f>'Пр.4 ведом.21'!G1155</f>
        <v>1556.5060000000001</v>
      </c>
      <c r="H960" s="389">
        <f>'Пр.4 ведом.21'!H1155</f>
        <v>0</v>
      </c>
      <c r="I960" s="389">
        <f t="shared" si="150"/>
        <v>0</v>
      </c>
    </row>
    <row r="961" spans="1:9" s="182" customFormat="1" ht="63" x14ac:dyDescent="0.25">
      <c r="A961" s="58" t="s">
        <v>1512</v>
      </c>
      <c r="B961" s="395" t="s">
        <v>782</v>
      </c>
      <c r="C961" s="7"/>
      <c r="D961" s="7"/>
      <c r="E961" s="3"/>
      <c r="F961" s="3"/>
      <c r="G961" s="388">
        <f>G963</f>
        <v>652.7600000000001</v>
      </c>
      <c r="H961" s="388">
        <f>H963</f>
        <v>0</v>
      </c>
      <c r="I961" s="492">
        <f t="shared" si="150"/>
        <v>0</v>
      </c>
    </row>
    <row r="962" spans="1:9" s="182" customFormat="1" ht="31.5" x14ac:dyDescent="0.25">
      <c r="A962" s="394" t="s">
        <v>929</v>
      </c>
      <c r="B962" s="395" t="s">
        <v>1019</v>
      </c>
      <c r="C962" s="7"/>
      <c r="D962" s="7"/>
      <c r="E962" s="3"/>
      <c r="F962" s="3"/>
      <c r="G962" s="388">
        <f t="shared" ref="G962:H966" si="158">G963</f>
        <v>652.7600000000001</v>
      </c>
      <c r="H962" s="388">
        <f t="shared" si="158"/>
        <v>0</v>
      </c>
      <c r="I962" s="492">
        <f t="shared" si="150"/>
        <v>0</v>
      </c>
    </row>
    <row r="963" spans="1:9" ht="15.75" x14ac:dyDescent="0.25">
      <c r="A963" s="45" t="s">
        <v>117</v>
      </c>
      <c r="B963" s="392" t="s">
        <v>1019</v>
      </c>
      <c r="C963" s="399" t="s">
        <v>118</v>
      </c>
      <c r="D963" s="399"/>
      <c r="E963" s="2"/>
      <c r="F963" s="2"/>
      <c r="G963" s="389">
        <f t="shared" si="158"/>
        <v>652.7600000000001</v>
      </c>
      <c r="H963" s="389">
        <f t="shared" si="158"/>
        <v>0</v>
      </c>
      <c r="I963" s="389">
        <f t="shared" si="150"/>
        <v>0</v>
      </c>
    </row>
    <row r="964" spans="1:9" ht="15.75" x14ac:dyDescent="0.25">
      <c r="A964" s="45" t="s">
        <v>139</v>
      </c>
      <c r="B964" s="392" t="s">
        <v>1019</v>
      </c>
      <c r="C964" s="399" t="s">
        <v>118</v>
      </c>
      <c r="D964" s="399" t="s">
        <v>140</v>
      </c>
      <c r="E964" s="2"/>
      <c r="F964" s="2"/>
      <c r="G964" s="389">
        <f t="shared" si="158"/>
        <v>652.7600000000001</v>
      </c>
      <c r="H964" s="389">
        <f t="shared" si="158"/>
        <v>0</v>
      </c>
      <c r="I964" s="389">
        <f t="shared" si="150"/>
        <v>0</v>
      </c>
    </row>
    <row r="965" spans="1:9" ht="31.5" x14ac:dyDescent="0.25">
      <c r="A965" s="45" t="s">
        <v>790</v>
      </c>
      <c r="B965" s="392" t="s">
        <v>1020</v>
      </c>
      <c r="C965" s="399" t="s">
        <v>118</v>
      </c>
      <c r="D965" s="399" t="s">
        <v>140</v>
      </c>
      <c r="E965" s="2"/>
      <c r="F965" s="2"/>
      <c r="G965" s="389">
        <f t="shared" si="158"/>
        <v>652.7600000000001</v>
      </c>
      <c r="H965" s="389">
        <f t="shared" si="158"/>
        <v>0</v>
      </c>
      <c r="I965" s="389">
        <f t="shared" si="150"/>
        <v>0</v>
      </c>
    </row>
    <row r="966" spans="1:9" ht="31.5" x14ac:dyDescent="0.25">
      <c r="A966" s="45" t="s">
        <v>131</v>
      </c>
      <c r="B966" s="392" t="s">
        <v>1020</v>
      </c>
      <c r="C966" s="399" t="s">
        <v>118</v>
      </c>
      <c r="D966" s="399" t="s">
        <v>140</v>
      </c>
      <c r="E966" s="2">
        <v>200</v>
      </c>
      <c r="F966" s="2"/>
      <c r="G966" s="389">
        <f t="shared" si="158"/>
        <v>652.7600000000001</v>
      </c>
      <c r="H966" s="389">
        <f t="shared" si="158"/>
        <v>0</v>
      </c>
      <c r="I966" s="389">
        <f t="shared" si="150"/>
        <v>0</v>
      </c>
    </row>
    <row r="967" spans="1:9" ht="31.5" x14ac:dyDescent="0.25">
      <c r="A967" s="45" t="s">
        <v>133</v>
      </c>
      <c r="B967" s="392" t="s">
        <v>1020</v>
      </c>
      <c r="C967" s="399" t="s">
        <v>118</v>
      </c>
      <c r="D967" s="399" t="s">
        <v>140</v>
      </c>
      <c r="E967" s="2">
        <v>240</v>
      </c>
      <c r="F967" s="2"/>
      <c r="G967" s="389">
        <f>'Пр.4 ведом.21'!G604</f>
        <v>652.7600000000001</v>
      </c>
      <c r="H967" s="389">
        <f>'Пр.4 ведом.21'!H604</f>
        <v>0</v>
      </c>
      <c r="I967" s="389">
        <f t="shared" si="150"/>
        <v>0</v>
      </c>
    </row>
    <row r="968" spans="1:9" ht="36.75" customHeight="1" x14ac:dyDescent="0.25">
      <c r="A968" s="45" t="s">
        <v>1384</v>
      </c>
      <c r="B968" s="392" t="s">
        <v>1020</v>
      </c>
      <c r="C968" s="399" t="s">
        <v>118</v>
      </c>
      <c r="D968" s="399" t="s">
        <v>140</v>
      </c>
      <c r="E968" s="2">
        <v>240</v>
      </c>
      <c r="F968" s="2">
        <v>905</v>
      </c>
      <c r="G968" s="389">
        <f>G961</f>
        <v>652.7600000000001</v>
      </c>
      <c r="H968" s="389">
        <f>H961</f>
        <v>0</v>
      </c>
      <c r="I968" s="389">
        <f t="shared" si="150"/>
        <v>0</v>
      </c>
    </row>
    <row r="969" spans="1:9" ht="68.25" hidden="1" customHeight="1" x14ac:dyDescent="0.25">
      <c r="A969" s="400" t="s">
        <v>1364</v>
      </c>
      <c r="B969" s="395" t="s">
        <v>816</v>
      </c>
      <c r="C969" s="7"/>
      <c r="D969" s="7"/>
      <c r="E969" s="3"/>
      <c r="F969" s="3"/>
      <c r="G969" s="388">
        <f>G971</f>
        <v>0</v>
      </c>
      <c r="H969" s="388">
        <f>H971</f>
        <v>0</v>
      </c>
      <c r="I969" s="389" t="e">
        <f t="shared" si="150"/>
        <v>#DIV/0!</v>
      </c>
    </row>
    <row r="970" spans="1:9" s="191" customFormat="1" ht="47.25" hidden="1" x14ac:dyDescent="0.25">
      <c r="A970" s="197" t="s">
        <v>853</v>
      </c>
      <c r="B970" s="395" t="s">
        <v>1076</v>
      </c>
      <c r="C970" s="7"/>
      <c r="D970" s="7"/>
      <c r="E970" s="3"/>
      <c r="F970" s="3"/>
      <c r="G970" s="388">
        <f t="shared" ref="G970:H974" si="159">G971</f>
        <v>0</v>
      </c>
      <c r="H970" s="388">
        <f t="shared" si="159"/>
        <v>0</v>
      </c>
      <c r="I970" s="389" t="e">
        <f t="shared" si="150"/>
        <v>#DIV/0!</v>
      </c>
    </row>
    <row r="971" spans="1:9" ht="15.75" hidden="1" x14ac:dyDescent="0.25">
      <c r="A971" s="45" t="s">
        <v>117</v>
      </c>
      <c r="B971" s="392" t="s">
        <v>1076</v>
      </c>
      <c r="C971" s="399" t="s">
        <v>118</v>
      </c>
      <c r="D971" s="399"/>
      <c r="E971" s="2"/>
      <c r="F971" s="2"/>
      <c r="G971" s="389">
        <f t="shared" si="159"/>
        <v>0</v>
      </c>
      <c r="H971" s="389">
        <f t="shared" si="159"/>
        <v>0</v>
      </c>
      <c r="I971" s="389" t="e">
        <f t="shared" si="150"/>
        <v>#DIV/0!</v>
      </c>
    </row>
    <row r="972" spans="1:9" ht="15.75" hidden="1" x14ac:dyDescent="0.25">
      <c r="A972" s="45" t="s">
        <v>139</v>
      </c>
      <c r="B972" s="392" t="s">
        <v>1076</v>
      </c>
      <c r="C972" s="399" t="s">
        <v>118</v>
      </c>
      <c r="D972" s="399" t="s">
        <v>140</v>
      </c>
      <c r="E972" s="2"/>
      <c r="F972" s="2"/>
      <c r="G972" s="389">
        <f t="shared" si="159"/>
        <v>0</v>
      </c>
      <c r="H972" s="389">
        <f t="shared" si="159"/>
        <v>0</v>
      </c>
      <c r="I972" s="389" t="e">
        <f t="shared" si="150"/>
        <v>#DIV/0!</v>
      </c>
    </row>
    <row r="973" spans="1:9" ht="31.5" hidden="1" x14ac:dyDescent="0.25">
      <c r="A973" s="97" t="s">
        <v>171</v>
      </c>
      <c r="B973" s="392" t="s">
        <v>854</v>
      </c>
      <c r="C973" s="399" t="s">
        <v>118</v>
      </c>
      <c r="D973" s="399" t="s">
        <v>140</v>
      </c>
      <c r="E973" s="2"/>
      <c r="F973" s="2"/>
      <c r="G973" s="389">
        <f t="shared" si="159"/>
        <v>0</v>
      </c>
      <c r="H973" s="389">
        <f t="shared" si="159"/>
        <v>0</v>
      </c>
      <c r="I973" s="389" t="e">
        <f t="shared" si="150"/>
        <v>#DIV/0!</v>
      </c>
    </row>
    <row r="974" spans="1:9" ht="31.5" hidden="1" x14ac:dyDescent="0.25">
      <c r="A974" s="45" t="s">
        <v>131</v>
      </c>
      <c r="B974" s="392" t="s">
        <v>854</v>
      </c>
      <c r="C974" s="399" t="s">
        <v>118</v>
      </c>
      <c r="D974" s="399" t="s">
        <v>140</v>
      </c>
      <c r="E974" s="2">
        <v>200</v>
      </c>
      <c r="F974" s="2"/>
      <c r="G974" s="389">
        <f t="shared" si="159"/>
        <v>0</v>
      </c>
      <c r="H974" s="389">
        <f t="shared" si="159"/>
        <v>0</v>
      </c>
      <c r="I974" s="389" t="e">
        <f t="shared" si="150"/>
        <v>#DIV/0!</v>
      </c>
    </row>
    <row r="975" spans="1:9" ht="31.5" hidden="1" x14ac:dyDescent="0.25">
      <c r="A975" s="45" t="s">
        <v>133</v>
      </c>
      <c r="B975" s="392" t="s">
        <v>854</v>
      </c>
      <c r="C975" s="399" t="s">
        <v>118</v>
      </c>
      <c r="D975" s="399" t="s">
        <v>140</v>
      </c>
      <c r="E975" s="2">
        <v>240</v>
      </c>
      <c r="F975" s="2"/>
      <c r="G975" s="389">
        <f>'Пр.4 ведом.21'!G169</f>
        <v>0</v>
      </c>
      <c r="H975" s="389">
        <f>'Пр.4 ведом.21'!H169</f>
        <v>0</v>
      </c>
      <c r="I975" s="389" t="e">
        <f t="shared" si="150"/>
        <v>#DIV/0!</v>
      </c>
    </row>
    <row r="976" spans="1:9" ht="23.25" hidden="1" customHeight="1" x14ac:dyDescent="0.25">
      <c r="A976" s="29" t="s">
        <v>148</v>
      </c>
      <c r="B976" s="392" t="s">
        <v>854</v>
      </c>
      <c r="C976" s="399" t="s">
        <v>118</v>
      </c>
      <c r="D976" s="399" t="s">
        <v>140</v>
      </c>
      <c r="E976" s="2">
        <v>240</v>
      </c>
      <c r="F976" s="2">
        <v>902</v>
      </c>
      <c r="G976" s="389">
        <f>G969</f>
        <v>0</v>
      </c>
      <c r="H976" s="389">
        <f>H969</f>
        <v>0</v>
      </c>
      <c r="I976" s="389" t="e">
        <f t="shared" si="150"/>
        <v>#DIV/0!</v>
      </c>
    </row>
    <row r="977" spans="1:9" ht="63" x14ac:dyDescent="0.25">
      <c r="A977" s="400" t="s">
        <v>1565</v>
      </c>
      <c r="B977" s="395" t="s">
        <v>817</v>
      </c>
      <c r="C977" s="7"/>
      <c r="D977" s="7"/>
      <c r="E977" s="3"/>
      <c r="F977" s="3"/>
      <c r="G977" s="388">
        <f>G979</f>
        <v>44.16</v>
      </c>
      <c r="H977" s="388">
        <f>H979</f>
        <v>44.16</v>
      </c>
      <c r="I977" s="492">
        <f t="shared" ref="I977:I994" si="160">H977/G977*100</f>
        <v>100</v>
      </c>
    </row>
    <row r="978" spans="1:9" s="191" customFormat="1" ht="31.5" x14ac:dyDescent="0.25">
      <c r="A978" s="58" t="s">
        <v>855</v>
      </c>
      <c r="B978" s="395" t="s">
        <v>863</v>
      </c>
      <c r="C978" s="7"/>
      <c r="D978" s="7"/>
      <c r="E978" s="3"/>
      <c r="F978" s="3"/>
      <c r="G978" s="388">
        <f t="shared" ref="G978:H982" si="161">G979</f>
        <v>44.16</v>
      </c>
      <c r="H978" s="388">
        <f t="shared" si="161"/>
        <v>44.16</v>
      </c>
      <c r="I978" s="492">
        <f t="shared" si="160"/>
        <v>100</v>
      </c>
    </row>
    <row r="979" spans="1:9" ht="15.75" x14ac:dyDescent="0.25">
      <c r="A979" s="45" t="s">
        <v>117</v>
      </c>
      <c r="B979" s="392" t="s">
        <v>863</v>
      </c>
      <c r="C979" s="399" t="s">
        <v>118</v>
      </c>
      <c r="D979" s="399"/>
      <c r="E979" s="2"/>
      <c r="F979" s="2"/>
      <c r="G979" s="389">
        <f t="shared" si="161"/>
        <v>44.16</v>
      </c>
      <c r="H979" s="389">
        <f t="shared" si="161"/>
        <v>44.16</v>
      </c>
      <c r="I979" s="389">
        <f t="shared" si="160"/>
        <v>100</v>
      </c>
    </row>
    <row r="980" spans="1:9" ht="15.75" x14ac:dyDescent="0.25">
      <c r="A980" s="45" t="s">
        <v>139</v>
      </c>
      <c r="B980" s="392" t="s">
        <v>863</v>
      </c>
      <c r="C980" s="399" t="s">
        <v>118</v>
      </c>
      <c r="D980" s="399" t="s">
        <v>140</v>
      </c>
      <c r="E980" s="2"/>
      <c r="F980" s="2"/>
      <c r="G980" s="389">
        <f t="shared" si="161"/>
        <v>44.16</v>
      </c>
      <c r="H980" s="389">
        <f t="shared" si="161"/>
        <v>44.16</v>
      </c>
      <c r="I980" s="389">
        <f t="shared" si="160"/>
        <v>100</v>
      </c>
    </row>
    <row r="981" spans="1:9" ht="15.75" x14ac:dyDescent="0.25">
      <c r="A981" s="45" t="s">
        <v>175</v>
      </c>
      <c r="B981" s="392" t="s">
        <v>856</v>
      </c>
      <c r="C981" s="399" t="s">
        <v>118</v>
      </c>
      <c r="D981" s="399" t="s">
        <v>140</v>
      </c>
      <c r="E981" s="2"/>
      <c r="F981" s="2"/>
      <c r="G981" s="389">
        <f t="shared" si="161"/>
        <v>44.16</v>
      </c>
      <c r="H981" s="389">
        <f t="shared" si="161"/>
        <v>44.16</v>
      </c>
      <c r="I981" s="389">
        <f t="shared" si="160"/>
        <v>100</v>
      </c>
    </row>
    <row r="982" spans="1:9" ht="31.5" x14ac:dyDescent="0.25">
      <c r="A982" s="45" t="s">
        <v>131</v>
      </c>
      <c r="B982" s="392" t="s">
        <v>856</v>
      </c>
      <c r="C982" s="399" t="s">
        <v>118</v>
      </c>
      <c r="D982" s="399" t="s">
        <v>140</v>
      </c>
      <c r="E982" s="2">
        <v>200</v>
      </c>
      <c r="F982" s="2"/>
      <c r="G982" s="389">
        <f t="shared" si="161"/>
        <v>44.16</v>
      </c>
      <c r="H982" s="389">
        <f t="shared" si="161"/>
        <v>44.16</v>
      </c>
      <c r="I982" s="389">
        <f t="shared" si="160"/>
        <v>100</v>
      </c>
    </row>
    <row r="983" spans="1:9" ht="31.5" x14ac:dyDescent="0.25">
      <c r="A983" s="45" t="s">
        <v>133</v>
      </c>
      <c r="B983" s="392" t="s">
        <v>856</v>
      </c>
      <c r="C983" s="399" t="s">
        <v>118</v>
      </c>
      <c r="D983" s="399" t="s">
        <v>140</v>
      </c>
      <c r="E983" s="2">
        <v>240</v>
      </c>
      <c r="F983" s="2"/>
      <c r="G983" s="389">
        <f>G984+G985</f>
        <v>44.16</v>
      </c>
      <c r="H983" s="389">
        <f>H984+H985</f>
        <v>44.16</v>
      </c>
      <c r="I983" s="389">
        <f t="shared" si="160"/>
        <v>100</v>
      </c>
    </row>
    <row r="984" spans="1:9" ht="23.25" customHeight="1" x14ac:dyDescent="0.25">
      <c r="A984" s="29" t="s">
        <v>148</v>
      </c>
      <c r="B984" s="392" t="s">
        <v>856</v>
      </c>
      <c r="C984" s="399" t="s">
        <v>118</v>
      </c>
      <c r="D984" s="399" t="s">
        <v>140</v>
      </c>
      <c r="E984" s="2">
        <v>240</v>
      </c>
      <c r="F984" s="2">
        <v>902</v>
      </c>
      <c r="G984" s="389">
        <f>'Пр.4 ведом.21'!G174</f>
        <v>13.159999999999997</v>
      </c>
      <c r="H984" s="389">
        <f>'Пр.4 ведом.21'!H174</f>
        <v>13.16</v>
      </c>
      <c r="I984" s="389">
        <f t="shared" si="160"/>
        <v>100.00000000000003</v>
      </c>
    </row>
    <row r="985" spans="1:9" s="387" customFormat="1" ht="46.5" customHeight="1" x14ac:dyDescent="0.25">
      <c r="A985" s="45" t="s">
        <v>261</v>
      </c>
      <c r="B985" s="392" t="s">
        <v>856</v>
      </c>
      <c r="C985" s="399" t="s">
        <v>118</v>
      </c>
      <c r="D985" s="399" t="s">
        <v>140</v>
      </c>
      <c r="E985" s="2">
        <v>240</v>
      </c>
      <c r="F985" s="2">
        <v>903</v>
      </c>
      <c r="G985" s="389">
        <f>'Пр.4 ведом.21'!G297</f>
        <v>31</v>
      </c>
      <c r="H985" s="389">
        <f>'Пр.4 ведом.21'!H297</f>
        <v>31</v>
      </c>
      <c r="I985" s="389">
        <f t="shared" si="160"/>
        <v>100</v>
      </c>
    </row>
    <row r="986" spans="1:9" s="191" customFormat="1" ht="47.25" hidden="1" x14ac:dyDescent="0.25">
      <c r="A986" s="394" t="s">
        <v>1511</v>
      </c>
      <c r="B986" s="395" t="s">
        <v>1139</v>
      </c>
      <c r="C986" s="399"/>
      <c r="D986" s="399"/>
      <c r="E986" s="2"/>
      <c r="F986" s="2"/>
      <c r="G986" s="388">
        <f t="shared" ref="G986:H992" si="162">G987</f>
        <v>0</v>
      </c>
      <c r="H986" s="388">
        <f t="shared" si="162"/>
        <v>0</v>
      </c>
      <c r="I986" s="389" t="e">
        <f t="shared" si="160"/>
        <v>#DIV/0!</v>
      </c>
    </row>
    <row r="987" spans="1:9" s="191" customFormat="1" ht="31.5" hidden="1" x14ac:dyDescent="0.25">
      <c r="A987" s="394" t="s">
        <v>1140</v>
      </c>
      <c r="B987" s="395" t="s">
        <v>1141</v>
      </c>
      <c r="C987" s="399"/>
      <c r="D987" s="399"/>
      <c r="E987" s="2"/>
      <c r="F987" s="2"/>
      <c r="G987" s="388">
        <f t="shared" si="162"/>
        <v>0</v>
      </c>
      <c r="H987" s="388">
        <f t="shared" si="162"/>
        <v>0</v>
      </c>
      <c r="I987" s="389" t="e">
        <f t="shared" si="160"/>
        <v>#DIV/0!</v>
      </c>
    </row>
    <row r="988" spans="1:9" s="191" customFormat="1" ht="15.75" hidden="1" x14ac:dyDescent="0.25">
      <c r="A988" s="29" t="s">
        <v>390</v>
      </c>
      <c r="B988" s="392" t="s">
        <v>1141</v>
      </c>
      <c r="C988" s="399" t="s">
        <v>234</v>
      </c>
      <c r="D988" s="399"/>
      <c r="E988" s="2"/>
      <c r="F988" s="2"/>
      <c r="G988" s="389">
        <f t="shared" si="162"/>
        <v>0</v>
      </c>
      <c r="H988" s="389">
        <f t="shared" si="162"/>
        <v>0</v>
      </c>
      <c r="I988" s="389" t="e">
        <f t="shared" si="160"/>
        <v>#DIV/0!</v>
      </c>
    </row>
    <row r="989" spans="1:9" s="191" customFormat="1" ht="15.75" hidden="1" x14ac:dyDescent="0.25">
      <c r="A989" s="29" t="s">
        <v>517</v>
      </c>
      <c r="B989" s="392" t="s">
        <v>1141</v>
      </c>
      <c r="C989" s="399" t="s">
        <v>234</v>
      </c>
      <c r="D989" s="399" t="s">
        <v>213</v>
      </c>
      <c r="E989" s="2"/>
      <c r="F989" s="2"/>
      <c r="G989" s="389">
        <f t="shared" si="162"/>
        <v>0</v>
      </c>
      <c r="H989" s="389">
        <f t="shared" si="162"/>
        <v>0</v>
      </c>
      <c r="I989" s="389" t="e">
        <f t="shared" si="160"/>
        <v>#DIV/0!</v>
      </c>
    </row>
    <row r="990" spans="1:9" s="191" customFormat="1" ht="15.75" hidden="1" x14ac:dyDescent="0.25">
      <c r="A990" s="29" t="s">
        <v>1143</v>
      </c>
      <c r="B990" s="392" t="s">
        <v>1142</v>
      </c>
      <c r="C990" s="399" t="s">
        <v>234</v>
      </c>
      <c r="D990" s="399" t="s">
        <v>213</v>
      </c>
      <c r="E990" s="2"/>
      <c r="F990" s="2"/>
      <c r="G990" s="389">
        <f t="shared" si="162"/>
        <v>0</v>
      </c>
      <c r="H990" s="389">
        <f t="shared" si="162"/>
        <v>0</v>
      </c>
      <c r="I990" s="389" t="e">
        <f t="shared" si="160"/>
        <v>#DIV/0!</v>
      </c>
    </row>
    <row r="991" spans="1:9" s="191" customFormat="1" ht="31.5" hidden="1" x14ac:dyDescent="0.25">
      <c r="A991" s="45" t="s">
        <v>131</v>
      </c>
      <c r="B991" s="392" t="s">
        <v>1142</v>
      </c>
      <c r="C991" s="399" t="s">
        <v>234</v>
      </c>
      <c r="D991" s="399" t="s">
        <v>213</v>
      </c>
      <c r="E991" s="2">
        <v>200</v>
      </c>
      <c r="F991" s="2"/>
      <c r="G991" s="389">
        <f t="shared" si="162"/>
        <v>0</v>
      </c>
      <c r="H991" s="389">
        <f t="shared" si="162"/>
        <v>0</v>
      </c>
      <c r="I991" s="389" t="e">
        <f t="shared" si="160"/>
        <v>#DIV/0!</v>
      </c>
    </row>
    <row r="992" spans="1:9" s="191" customFormat="1" ht="31.5" hidden="1" x14ac:dyDescent="0.25">
      <c r="A992" s="45" t="s">
        <v>133</v>
      </c>
      <c r="B992" s="392" t="s">
        <v>1142</v>
      </c>
      <c r="C992" s="399" t="s">
        <v>234</v>
      </c>
      <c r="D992" s="399" t="s">
        <v>213</v>
      </c>
      <c r="E992" s="2">
        <v>240</v>
      </c>
      <c r="F992" s="2"/>
      <c r="G992" s="389">
        <f t="shared" si="162"/>
        <v>0</v>
      </c>
      <c r="H992" s="389">
        <f t="shared" si="162"/>
        <v>0</v>
      </c>
      <c r="I992" s="389" t="e">
        <f t="shared" si="160"/>
        <v>#DIV/0!</v>
      </c>
    </row>
    <row r="993" spans="1:13" s="191" customFormat="1" ht="31.5" hidden="1" x14ac:dyDescent="0.25">
      <c r="A993" s="45" t="s">
        <v>623</v>
      </c>
      <c r="B993" s="392" t="s">
        <v>1142</v>
      </c>
      <c r="C993" s="399" t="s">
        <v>234</v>
      </c>
      <c r="D993" s="399" t="s">
        <v>213</v>
      </c>
      <c r="E993" s="2">
        <v>240</v>
      </c>
      <c r="F993" s="2">
        <v>908</v>
      </c>
      <c r="G993" s="389">
        <f>'Пр.4 ведом.21'!G1093</f>
        <v>0</v>
      </c>
      <c r="H993" s="389">
        <f>'Пр.4 ведом.21'!H1093</f>
        <v>0</v>
      </c>
      <c r="I993" s="389" t="e">
        <f t="shared" si="160"/>
        <v>#DIV/0!</v>
      </c>
    </row>
    <row r="994" spans="1:13" ht="15.75" x14ac:dyDescent="0.25">
      <c r="A994" s="72" t="s">
        <v>657</v>
      </c>
      <c r="B994" s="72"/>
      <c r="C994" s="72"/>
      <c r="D994" s="72"/>
      <c r="E994" s="72"/>
      <c r="F994" s="72"/>
      <c r="G994" s="120">
        <f>G977+G969+G961+G946+G877+G850+G778+G705+G674+G518+G445+G437+G403+G395+G147+G30+G9+G793+G986</f>
        <v>606546.41370999999</v>
      </c>
      <c r="H994" s="120">
        <f>H977+H969+H961+H946+H877+H850+H778+H705+H674+H518+H445+H437+H403+H395+H147+H30+H9+H793+H986</f>
        <v>592655.03799999983</v>
      </c>
      <c r="I994" s="492">
        <f t="shared" si="160"/>
        <v>97.709758825374593</v>
      </c>
    </row>
    <row r="995" spans="1:13" hidden="1" x14ac:dyDescent="0.25"/>
    <row r="996" spans="1:13" hidden="1" x14ac:dyDescent="0.25">
      <c r="G996" s="115">
        <f>'Пр.4 ведом.21'!G1304</f>
        <v>606546.41371000011</v>
      </c>
      <c r="H996" s="115">
        <f>'Пр.4 ведом.21'!H1304</f>
        <v>592655.03799999994</v>
      </c>
      <c r="I996" s="115">
        <f>'Пр.4 ведом.21'!O1304</f>
        <v>0</v>
      </c>
    </row>
    <row r="997" spans="1:13" hidden="1" x14ac:dyDescent="0.25">
      <c r="G997" s="115">
        <f>G996-G994</f>
        <v>0</v>
      </c>
      <c r="H997" s="115">
        <f>H996-H994</f>
        <v>0</v>
      </c>
      <c r="I997" s="115">
        <f t="shared" ref="I997" si="163">I996-I994</f>
        <v>-97.709758825374593</v>
      </c>
    </row>
    <row r="998" spans="1:13" hidden="1" x14ac:dyDescent="0.25">
      <c r="M998" t="s">
        <v>1692</v>
      </c>
    </row>
  </sheetData>
  <mergeCells count="4">
    <mergeCell ref="H3:I3"/>
    <mergeCell ref="H2:I2"/>
    <mergeCell ref="H1:I1"/>
    <mergeCell ref="A5:I5"/>
  </mergeCells>
  <pageMargins left="0.23622047244094491" right="0.23622047244094491" top="0.35433070866141736" bottom="0.35433070866141736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570" t="s">
        <v>714</v>
      </c>
      <c r="B5" s="570"/>
      <c r="C5" s="570"/>
      <c r="D5" s="570"/>
      <c r="E5" s="570"/>
      <c r="F5" s="570"/>
      <c r="G5" s="570"/>
    </row>
    <row r="6" spans="1:8" ht="16.5" x14ac:dyDescent="0.25">
      <c r="A6" s="169"/>
      <c r="B6" s="169"/>
      <c r="C6" s="169"/>
      <c r="D6" s="169"/>
      <c r="E6" s="169"/>
      <c r="F6" s="169"/>
      <c r="G6" s="169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'Пр.4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'Пр.4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'Пр.4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'Пр.4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'Пр.4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'Пр.4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'Пр.4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'Пр.4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'Пр.4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'Пр.4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'Пр.4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'Пр.4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'Пр.4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'Пр.4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'Пр.4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'Пр.4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5" t="e">
        <f>'Пр.4 ведом.21'!#REF!</f>
        <v>#REF!</v>
      </c>
      <c r="H131" s="156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'Пр.4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'Пр.4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'Пр.4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'Пр.4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'Пр.4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'Пр.4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'Пр.4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'Пр.4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0" t="s">
        <v>156</v>
      </c>
      <c r="C217" s="7"/>
      <c r="D217" s="170"/>
      <c r="E217" s="170"/>
      <c r="F217" s="170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'Пр.4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0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'Пр.4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'Пр.4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'Пр.4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'Пр.4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'Пр.4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0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'Пр.4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0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0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'Пр.4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0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'Пр.4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0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'Пр.4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'Пр.4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'Пр.4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'Пр.4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5" t="e">
        <f>'Пр.4 ведом.21'!#REF!</f>
        <v>#REF!</v>
      </c>
      <c r="H307" s="156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0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'Пр.4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'Пр.4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'Пр.4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'Пр.4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'Пр.4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'Пр.4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'Пр.4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'Пр.4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'Пр.4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'Пр.4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'Пр.4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'Пр.4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'Пр.4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'Пр.4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'Пр.4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'Пр.4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'Пр.4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'Пр.4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'Пр.4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'Пр.4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0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'Пр.4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'Пр.4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'Пр.4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'Пр.4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'Пр.4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'Пр.4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'Пр.4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'Пр.4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'Пр.4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'Пр.4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'Пр.4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'Пр.4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'Пр.4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'Пр.4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'Пр.4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'Пр.4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'Пр.4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0"/>
  <sheetViews>
    <sheetView view="pageBreakPreview" zoomScaleNormal="100" zoomScaleSheetLayoutView="100" workbookViewId="0">
      <selection activeCell="G3" sqref="G3:H3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192"/>
      <c r="B1" s="192"/>
      <c r="C1" s="192"/>
      <c r="D1" s="192"/>
      <c r="E1" s="192"/>
      <c r="F1" s="192"/>
      <c r="G1" s="571" t="s">
        <v>1699</v>
      </c>
      <c r="H1" s="571"/>
    </row>
    <row r="2" spans="1:8" ht="15.75" x14ac:dyDescent="0.25">
      <c r="A2" s="192"/>
      <c r="B2" s="192"/>
      <c r="C2" s="192"/>
      <c r="D2" s="192"/>
      <c r="E2" s="192"/>
      <c r="F2" s="192"/>
      <c r="G2" s="571" t="s">
        <v>1502</v>
      </c>
      <c r="H2" s="571"/>
    </row>
    <row r="3" spans="1:8" ht="15.75" x14ac:dyDescent="0.25">
      <c r="A3" s="192"/>
      <c r="B3" s="192"/>
      <c r="C3" s="192"/>
      <c r="D3" s="192"/>
      <c r="E3" s="192"/>
      <c r="F3" s="62"/>
      <c r="G3" s="539" t="s">
        <v>1693</v>
      </c>
      <c r="H3" s="539"/>
    </row>
    <row r="4" spans="1:8" s="191" customFormat="1" ht="15.75" x14ac:dyDescent="0.25">
      <c r="A4" s="192"/>
      <c r="B4" s="192"/>
      <c r="C4" s="192"/>
      <c r="D4" s="192"/>
      <c r="E4" s="192"/>
      <c r="F4" s="62"/>
      <c r="G4" s="115"/>
      <c r="H4" s="249"/>
    </row>
    <row r="5" spans="1:8" ht="44.45" customHeight="1" x14ac:dyDescent="0.25">
      <c r="A5" s="570" t="s">
        <v>1326</v>
      </c>
      <c r="B5" s="570"/>
      <c r="C5" s="570"/>
      <c r="D5" s="570"/>
      <c r="E5" s="570"/>
      <c r="F5" s="570"/>
      <c r="G5" s="570"/>
      <c r="H5" s="570"/>
    </row>
    <row r="6" spans="1:8" ht="16.5" x14ac:dyDescent="0.25">
      <c r="A6" s="224"/>
      <c r="B6" s="224"/>
      <c r="C6" s="224"/>
      <c r="D6" s="224"/>
      <c r="E6" s="224"/>
      <c r="F6" s="224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50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46" t="s">
        <v>1027</v>
      </c>
      <c r="H8" s="336" t="s">
        <v>1288</v>
      </c>
    </row>
    <row r="9" spans="1:8" ht="47.25" x14ac:dyDescent="0.25">
      <c r="A9" s="58" t="s">
        <v>1369</v>
      </c>
      <c r="B9" s="7" t="s">
        <v>510</v>
      </c>
      <c r="C9" s="7"/>
      <c r="D9" s="7"/>
      <c r="E9" s="7"/>
      <c r="F9" s="7"/>
      <c r="G9" s="4">
        <f>G10+G17</f>
        <v>2127.6</v>
      </c>
      <c r="H9" s="4">
        <f>H10+H17</f>
        <v>1949.1</v>
      </c>
    </row>
    <row r="10" spans="1:8" ht="36" hidden="1" customHeight="1" x14ac:dyDescent="0.25">
      <c r="A10" s="34" t="s">
        <v>998</v>
      </c>
      <c r="B10" s="7" t="s">
        <v>957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957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957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1000</v>
      </c>
      <c r="B13" s="40" t="s">
        <v>999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999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999</v>
      </c>
      <c r="C15" s="40" t="s">
        <v>150</v>
      </c>
      <c r="D15" s="40" t="s">
        <v>219</v>
      </c>
      <c r="E15" s="40" t="s">
        <v>134</v>
      </c>
      <c r="F15" s="40"/>
      <c r="G15" s="6">
        <f>'пр.4.1.ведом.22-23'!G865</f>
        <v>0</v>
      </c>
      <c r="H15" s="6">
        <f>'пр.4.1.ведом.22-23'!H865</f>
        <v>0</v>
      </c>
    </row>
    <row r="16" spans="1:8" ht="47.25" hidden="1" x14ac:dyDescent="0.25">
      <c r="A16" s="45" t="s">
        <v>623</v>
      </c>
      <c r="B16" s="40" t="s">
        <v>999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1061</v>
      </c>
      <c r="B17" s="24" t="s">
        <v>958</v>
      </c>
      <c r="C17" s="40"/>
      <c r="D17" s="40"/>
      <c r="E17" s="40"/>
      <c r="F17" s="40"/>
      <c r="G17" s="4">
        <f t="shared" ref="G17:H19" si="2">G18</f>
        <v>2127.6</v>
      </c>
      <c r="H17" s="4">
        <f t="shared" si="2"/>
        <v>1949.1</v>
      </c>
    </row>
    <row r="18" spans="1:8" ht="15.75" x14ac:dyDescent="0.25">
      <c r="A18" s="29" t="s">
        <v>232</v>
      </c>
      <c r="B18" s="40" t="s">
        <v>958</v>
      </c>
      <c r="C18" s="40" t="s">
        <v>150</v>
      </c>
      <c r="D18" s="40"/>
      <c r="E18" s="40"/>
      <c r="F18" s="40"/>
      <c r="G18" s="6">
        <f t="shared" si="2"/>
        <v>2127.6</v>
      </c>
      <c r="H18" s="6">
        <f t="shared" si="2"/>
        <v>1949.1</v>
      </c>
    </row>
    <row r="19" spans="1:8" ht="15.75" x14ac:dyDescent="0.25">
      <c r="A19" s="29" t="s">
        <v>508</v>
      </c>
      <c r="B19" s="40" t="s">
        <v>958</v>
      </c>
      <c r="C19" s="40" t="s">
        <v>150</v>
      </c>
      <c r="D19" s="40" t="s">
        <v>219</v>
      </c>
      <c r="E19" s="40"/>
      <c r="F19" s="40"/>
      <c r="G19" s="6">
        <f t="shared" si="2"/>
        <v>2127.6</v>
      </c>
      <c r="H19" s="6">
        <f t="shared" si="2"/>
        <v>1949.1</v>
      </c>
    </row>
    <row r="20" spans="1:8" ht="15.75" x14ac:dyDescent="0.25">
      <c r="A20" s="29" t="s">
        <v>511</v>
      </c>
      <c r="B20" s="40" t="s">
        <v>1001</v>
      </c>
      <c r="C20" s="40" t="s">
        <v>150</v>
      </c>
      <c r="D20" s="40" t="s">
        <v>219</v>
      </c>
      <c r="E20" s="40"/>
      <c r="F20" s="40"/>
      <c r="G20" s="6">
        <f>G24+G27+G21</f>
        <v>2127.6</v>
      </c>
      <c r="H20" s="6">
        <f>H24+H27+H21</f>
        <v>1949.1</v>
      </c>
    </row>
    <row r="21" spans="1:8" s="191" customFormat="1" ht="94.5" x14ac:dyDescent="0.25">
      <c r="A21" s="25" t="s">
        <v>127</v>
      </c>
      <c r="B21" s="40" t="s">
        <v>1001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191" customFormat="1" ht="31.5" x14ac:dyDescent="0.25">
      <c r="A22" s="25" t="s">
        <v>342</v>
      </c>
      <c r="B22" s="40" t="s">
        <v>1001</v>
      </c>
      <c r="C22" s="40" t="s">
        <v>150</v>
      </c>
      <c r="D22" s="40" t="s">
        <v>219</v>
      </c>
      <c r="E22" s="40" t="s">
        <v>209</v>
      </c>
      <c r="F22" s="40"/>
      <c r="G22" s="6">
        <f>'пр.4.1.ведом.22-23'!G869</f>
        <v>1807</v>
      </c>
      <c r="H22" s="6">
        <f>'пр.4.1.ведом.22-23'!H869</f>
        <v>1807</v>
      </c>
    </row>
    <row r="23" spans="1:8" s="191" customFormat="1" ht="47.25" x14ac:dyDescent="0.25">
      <c r="A23" s="45" t="s">
        <v>623</v>
      </c>
      <c r="B23" s="40" t="s">
        <v>1001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1001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320.60000000000002</v>
      </c>
      <c r="H24" s="6">
        <f t="shared" si="3"/>
        <v>142.10000000000002</v>
      </c>
    </row>
    <row r="25" spans="1:8" ht="47.25" x14ac:dyDescent="0.25">
      <c r="A25" s="29" t="s">
        <v>133</v>
      </c>
      <c r="B25" s="40" t="s">
        <v>1001</v>
      </c>
      <c r="C25" s="40" t="s">
        <v>150</v>
      </c>
      <c r="D25" s="40" t="s">
        <v>219</v>
      </c>
      <c r="E25" s="40" t="s">
        <v>134</v>
      </c>
      <c r="F25" s="40"/>
      <c r="G25" s="6">
        <f>'пр.4.1.ведом.22-23'!G871</f>
        <v>320.60000000000002</v>
      </c>
      <c r="H25" s="6">
        <f>'пр.4.1.ведом.22-23'!H871</f>
        <v>142.10000000000002</v>
      </c>
    </row>
    <row r="26" spans="1:8" ht="47.25" x14ac:dyDescent="0.25">
      <c r="A26" s="45" t="s">
        <v>623</v>
      </c>
      <c r="B26" s="40" t="s">
        <v>1001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320.60000000000002</v>
      </c>
      <c r="H26" s="6">
        <f>H25</f>
        <v>142.10000000000002</v>
      </c>
    </row>
    <row r="27" spans="1:8" ht="15.75" hidden="1" x14ac:dyDescent="0.25">
      <c r="A27" s="25" t="s">
        <v>135</v>
      </c>
      <c r="B27" s="40" t="s">
        <v>1001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1001</v>
      </c>
      <c r="C28" s="40" t="s">
        <v>150</v>
      </c>
      <c r="D28" s="40" t="s">
        <v>219</v>
      </c>
      <c r="E28" s="40" t="s">
        <v>138</v>
      </c>
      <c r="F28" s="40"/>
      <c r="G28" s="6">
        <f>'пр.4.1.ведом.22-23'!G873</f>
        <v>0</v>
      </c>
      <c r="H28" s="6">
        <f>'пр.4.1.ведом.22-23'!H873</f>
        <v>0</v>
      </c>
    </row>
    <row r="29" spans="1:8" ht="47.25" hidden="1" x14ac:dyDescent="0.25">
      <c r="A29" s="45" t="s">
        <v>623</v>
      </c>
      <c r="B29" s="40" t="s">
        <v>1001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1381</v>
      </c>
      <c r="B30" s="7" t="s">
        <v>344</v>
      </c>
      <c r="C30" s="7"/>
      <c r="D30" s="7"/>
      <c r="E30" s="7"/>
      <c r="F30" s="7"/>
      <c r="G30" s="59">
        <f>G31+G60+G68+G97+G109</f>
        <v>3281.61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195" t="s">
        <v>1029</v>
      </c>
      <c r="B32" s="24" t="s">
        <v>891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891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891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1035</v>
      </c>
      <c r="B35" s="20" t="s">
        <v>892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892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892</v>
      </c>
      <c r="C37" s="40" t="s">
        <v>264</v>
      </c>
      <c r="D37" s="40" t="s">
        <v>264</v>
      </c>
      <c r="E37" s="40" t="s">
        <v>209</v>
      </c>
      <c r="F37" s="40"/>
      <c r="G37" s="10">
        <f>'пр.4.1.ведом.22-23'!G343</f>
        <v>280</v>
      </c>
      <c r="H37" s="10">
        <f>'пр.4.1.ведом.22-23'!H343</f>
        <v>280</v>
      </c>
    </row>
    <row r="38" spans="1:8" ht="47.25" x14ac:dyDescent="0.25">
      <c r="A38" s="45" t="s">
        <v>261</v>
      </c>
      <c r="B38" s="20" t="s">
        <v>892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1030</v>
      </c>
      <c r="B39" s="20" t="s">
        <v>1047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1047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1047</v>
      </c>
      <c r="C41" s="40" t="s">
        <v>264</v>
      </c>
      <c r="D41" s="40" t="s">
        <v>264</v>
      </c>
      <c r="E41" s="40" t="s">
        <v>134</v>
      </c>
      <c r="F41" s="40"/>
      <c r="G41" s="10">
        <f>'пр.4.1.ведом.22-23'!G346</f>
        <v>0</v>
      </c>
      <c r="H41" s="10">
        <f>'пр.4.1.ведом.22-23'!H346</f>
        <v>0</v>
      </c>
    </row>
    <row r="42" spans="1:8" ht="47.25" hidden="1" x14ac:dyDescent="0.25">
      <c r="A42" s="45" t="s">
        <v>261</v>
      </c>
      <c r="B42" s="20" t="s">
        <v>1047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1031</v>
      </c>
      <c r="B43" s="24" t="s">
        <v>893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893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893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1032</v>
      </c>
      <c r="B46" s="20" t="s">
        <v>900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900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900</v>
      </c>
      <c r="C48" s="40" t="s">
        <v>264</v>
      </c>
      <c r="D48" s="40" t="s">
        <v>264</v>
      </c>
      <c r="E48" s="40" t="s">
        <v>209</v>
      </c>
      <c r="F48" s="40"/>
      <c r="G48" s="10">
        <f>'пр.4.1.ведом.22-23'!G350</f>
        <v>40</v>
      </c>
      <c r="H48" s="10">
        <f>'пр.4.1.ведом.22-23'!H350</f>
        <v>40</v>
      </c>
    </row>
    <row r="49" spans="1:8" ht="47.25" x14ac:dyDescent="0.25">
      <c r="A49" s="45" t="s">
        <v>261</v>
      </c>
      <c r="B49" s="20" t="s">
        <v>900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900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900</v>
      </c>
      <c r="C51" s="40" t="s">
        <v>264</v>
      </c>
      <c r="D51" s="40" t="s">
        <v>264</v>
      </c>
      <c r="E51" s="40" t="s">
        <v>134</v>
      </c>
      <c r="F51" s="40"/>
      <c r="G51" s="6">
        <f>'пр.4.1.ведом.22-23'!G352</f>
        <v>415</v>
      </c>
      <c r="H51" s="6">
        <f>'пр.4.1.ведом.22-23'!H352</f>
        <v>480</v>
      </c>
    </row>
    <row r="52" spans="1:8" ht="47.25" x14ac:dyDescent="0.25">
      <c r="A52" s="45" t="s">
        <v>261</v>
      </c>
      <c r="B52" s="20" t="s">
        <v>900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1037</v>
      </c>
      <c r="B53" s="24" t="s">
        <v>1033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1033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1033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15" t="s">
        <v>1034</v>
      </c>
      <c r="B56" s="20" t="s">
        <v>1048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1048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1194</v>
      </c>
      <c r="B58" s="20" t="s">
        <v>1048</v>
      </c>
      <c r="C58" s="40" t="s">
        <v>264</v>
      </c>
      <c r="D58" s="40" t="s">
        <v>264</v>
      </c>
      <c r="E58" s="20" t="s">
        <v>349</v>
      </c>
      <c r="F58" s="40"/>
      <c r="G58" s="10">
        <f>'пр.4.1.ведом.22-23'!G356</f>
        <v>25</v>
      </c>
      <c r="H58" s="10">
        <f>'пр.4.1.ведом.22-23'!H356</f>
        <v>25</v>
      </c>
    </row>
    <row r="59" spans="1:8" ht="47.25" x14ac:dyDescent="0.25">
      <c r="A59" s="45" t="s">
        <v>261</v>
      </c>
      <c r="B59" s="20" t="s">
        <v>1048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1382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904</v>
      </c>
      <c r="B61" s="24" t="s">
        <v>903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903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903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823</v>
      </c>
      <c r="B64" s="20" t="s">
        <v>905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905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905</v>
      </c>
      <c r="C66" s="40" t="s">
        <v>244</v>
      </c>
      <c r="D66" s="40" t="s">
        <v>215</v>
      </c>
      <c r="E66" s="40" t="s">
        <v>251</v>
      </c>
      <c r="F66" s="40"/>
      <c r="G66" s="10">
        <f>'пр.4.1.ведом.22-23'!G452</f>
        <v>294.61</v>
      </c>
      <c r="H66" s="10">
        <f>'пр.4.1.ведом.22-23'!H452</f>
        <v>289.11</v>
      </c>
    </row>
    <row r="67" spans="1:8" ht="47.25" hidden="1" x14ac:dyDescent="0.25">
      <c r="A67" s="45" t="s">
        <v>261</v>
      </c>
      <c r="B67" s="20" t="s">
        <v>905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191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191" customFormat="1" ht="47.25" hidden="1" x14ac:dyDescent="0.25">
      <c r="A69" s="199" t="s">
        <v>1043</v>
      </c>
      <c r="B69" s="24" t="s">
        <v>906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191" customFormat="1" ht="15.75" hidden="1" x14ac:dyDescent="0.25">
      <c r="A70" s="45" t="s">
        <v>232</v>
      </c>
      <c r="B70" s="40" t="s">
        <v>906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191" customFormat="1" ht="31.5" hidden="1" x14ac:dyDescent="0.25">
      <c r="A71" s="45" t="s">
        <v>237</v>
      </c>
      <c r="B71" s="40" t="s">
        <v>906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191" customFormat="1" ht="63" hidden="1" x14ac:dyDescent="0.25">
      <c r="A72" s="25" t="s">
        <v>375</v>
      </c>
      <c r="B72" s="20" t="s">
        <v>1314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191" customFormat="1" ht="31.5" hidden="1" x14ac:dyDescent="0.25">
      <c r="A73" s="25" t="s">
        <v>248</v>
      </c>
      <c r="B73" s="20" t="s">
        <v>1314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191" customFormat="1" ht="47.25" hidden="1" x14ac:dyDescent="0.25">
      <c r="A74" s="25" t="s">
        <v>250</v>
      </c>
      <c r="B74" s="20" t="s">
        <v>1314</v>
      </c>
      <c r="C74" s="40" t="s">
        <v>150</v>
      </c>
      <c r="D74" s="40" t="s">
        <v>238</v>
      </c>
      <c r="E74" s="40" t="s">
        <v>251</v>
      </c>
      <c r="F74" s="40"/>
      <c r="G74" s="10">
        <f>'пр.4.1.ведом.22-23'!G280</f>
        <v>0</v>
      </c>
      <c r="H74" s="10">
        <f>'пр.4.1.ведом.22-23'!H280</f>
        <v>0</v>
      </c>
    </row>
    <row r="75" spans="1:8" s="191" customFormat="1" ht="47.25" hidden="1" x14ac:dyDescent="0.25">
      <c r="A75" s="45" t="s">
        <v>261</v>
      </c>
      <c r="B75" s="20" t="s">
        <v>1314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191" customFormat="1" ht="47.25" x14ac:dyDescent="0.25">
      <c r="A76" s="23" t="s">
        <v>1041</v>
      </c>
      <c r="B76" s="7" t="s">
        <v>1197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191" customFormat="1" ht="15.75" x14ac:dyDescent="0.25">
      <c r="A77" s="45" t="s">
        <v>232</v>
      </c>
      <c r="B77" s="40" t="s">
        <v>1197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191" customFormat="1" ht="31.5" x14ac:dyDescent="0.25">
      <c r="A78" s="45" t="s">
        <v>237</v>
      </c>
      <c r="B78" s="40" t="s">
        <v>1197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191" customFormat="1" ht="126" x14ac:dyDescent="0.25">
      <c r="A79" s="25" t="s">
        <v>1485</v>
      </c>
      <c r="B79" s="20" t="s">
        <v>1198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191" customFormat="1" ht="47.25" x14ac:dyDescent="0.25">
      <c r="A80" s="25" t="s">
        <v>272</v>
      </c>
      <c r="B80" s="20" t="s">
        <v>1198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191" customFormat="1" ht="78.75" x14ac:dyDescent="0.25">
      <c r="A81" s="25" t="s">
        <v>1090</v>
      </c>
      <c r="B81" s="20" t="s">
        <v>1198</v>
      </c>
      <c r="C81" s="40" t="s">
        <v>150</v>
      </c>
      <c r="D81" s="40" t="s">
        <v>238</v>
      </c>
      <c r="E81" s="40" t="s">
        <v>372</v>
      </c>
      <c r="F81" s="40"/>
      <c r="G81" s="10">
        <f>'пр.4.1.ведом.22-23'!G284</f>
        <v>260</v>
      </c>
      <c r="H81" s="10">
        <f>'пр.4.1.ведом.22-23'!H284</f>
        <v>260</v>
      </c>
    </row>
    <row r="82" spans="1:8" s="191" customFormat="1" ht="47.25" x14ac:dyDescent="0.25">
      <c r="A82" s="45" t="s">
        <v>261</v>
      </c>
      <c r="B82" s="20" t="s">
        <v>1198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191" customFormat="1" ht="31.5" hidden="1" x14ac:dyDescent="0.25">
      <c r="A83" s="23" t="s">
        <v>994</v>
      </c>
      <c r="B83" s="24" t="s">
        <v>1307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191" customFormat="1" ht="15.75" hidden="1" x14ac:dyDescent="0.25">
      <c r="A84" s="45" t="s">
        <v>232</v>
      </c>
      <c r="B84" s="40" t="s">
        <v>1307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191" customFormat="1" ht="31.5" hidden="1" x14ac:dyDescent="0.25">
      <c r="A85" s="45" t="s">
        <v>237</v>
      </c>
      <c r="B85" s="40" t="s">
        <v>1307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191" customFormat="1" ht="47.25" hidden="1" x14ac:dyDescent="0.25">
      <c r="A86" s="234" t="s">
        <v>1044</v>
      </c>
      <c r="B86" s="20" t="s">
        <v>1308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191" customFormat="1" ht="31.5" hidden="1" x14ac:dyDescent="0.25">
      <c r="A87" s="25" t="s">
        <v>131</v>
      </c>
      <c r="B87" s="20" t="s">
        <v>1308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191" customFormat="1" ht="47.25" hidden="1" x14ac:dyDescent="0.25">
      <c r="A88" s="25" t="s">
        <v>133</v>
      </c>
      <c r="B88" s="20" t="s">
        <v>1308</v>
      </c>
      <c r="C88" s="40" t="s">
        <v>150</v>
      </c>
      <c r="D88" s="40" t="s">
        <v>238</v>
      </c>
      <c r="E88" s="40" t="s">
        <v>134</v>
      </c>
      <c r="F88" s="40"/>
      <c r="G88" s="10">
        <f>'пр.4.1.ведом.22-23'!G288</f>
        <v>0</v>
      </c>
      <c r="H88" s="10">
        <f>'пр.4.1.ведом.22-23'!H288</f>
        <v>0</v>
      </c>
    </row>
    <row r="89" spans="1:8" s="191" customFormat="1" ht="47.25" hidden="1" x14ac:dyDescent="0.25">
      <c r="A89" s="45" t="s">
        <v>261</v>
      </c>
      <c r="B89" s="20" t="s">
        <v>1308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191" customFormat="1" ht="47.25" hidden="1" x14ac:dyDescent="0.25">
      <c r="A90" s="196" t="s">
        <v>1103</v>
      </c>
      <c r="B90" s="24" t="s">
        <v>1199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191" customFormat="1" ht="15.75" hidden="1" x14ac:dyDescent="0.25">
      <c r="A91" s="45" t="s">
        <v>232</v>
      </c>
      <c r="B91" s="40" t="s">
        <v>1199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191" customFormat="1" ht="31.5" hidden="1" x14ac:dyDescent="0.25">
      <c r="A92" s="45" t="s">
        <v>237</v>
      </c>
      <c r="B92" s="40" t="s">
        <v>1199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191" customFormat="1" ht="31.5" hidden="1" x14ac:dyDescent="0.25">
      <c r="A93" s="215" t="s">
        <v>1104</v>
      </c>
      <c r="B93" s="20" t="s">
        <v>1200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191" customFormat="1" ht="31.5" hidden="1" x14ac:dyDescent="0.25">
      <c r="A94" s="25" t="s">
        <v>131</v>
      </c>
      <c r="B94" s="20" t="s">
        <v>1200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191" customFormat="1" ht="47.25" hidden="1" x14ac:dyDescent="0.25">
      <c r="A95" s="25" t="s">
        <v>133</v>
      </c>
      <c r="B95" s="20" t="s">
        <v>1200</v>
      </c>
      <c r="C95" s="40" t="s">
        <v>150</v>
      </c>
      <c r="D95" s="40" t="s">
        <v>238</v>
      </c>
      <c r="E95" s="40" t="s">
        <v>134</v>
      </c>
      <c r="F95" s="40"/>
      <c r="G95" s="10">
        <f>'пр.4.1.ведом.22-23'!G292</f>
        <v>0</v>
      </c>
      <c r="H95" s="10">
        <f>'пр.4.1.ведом.22-23'!H292</f>
        <v>0</v>
      </c>
    </row>
    <row r="96" spans="1:8" s="191" customFormat="1" ht="47.25" hidden="1" x14ac:dyDescent="0.25">
      <c r="A96" s="45" t="s">
        <v>261</v>
      </c>
      <c r="B96" s="20" t="s">
        <v>1200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191" customFormat="1" ht="94.5" x14ac:dyDescent="0.25">
      <c r="A97" s="41" t="s">
        <v>1347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191" customFormat="1" ht="63" x14ac:dyDescent="0.25">
      <c r="A98" s="232" t="s">
        <v>1045</v>
      </c>
      <c r="B98" s="7" t="s">
        <v>908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191" customFormat="1" ht="15.75" x14ac:dyDescent="0.25">
      <c r="A99" s="45" t="s">
        <v>117</v>
      </c>
      <c r="B99" s="40" t="s">
        <v>908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191" customFormat="1" ht="15.75" x14ac:dyDescent="0.25">
      <c r="A100" s="45" t="s">
        <v>139</v>
      </c>
      <c r="B100" s="40" t="s">
        <v>908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191" customFormat="1" ht="47.25" x14ac:dyDescent="0.25">
      <c r="A101" s="98" t="s">
        <v>1046</v>
      </c>
      <c r="B101" s="40" t="s">
        <v>1196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191" customFormat="1" ht="31.5" x14ac:dyDescent="0.25">
      <c r="A102" s="29" t="s">
        <v>131</v>
      </c>
      <c r="B102" s="40" t="s">
        <v>1196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191" customFormat="1" ht="47.25" x14ac:dyDescent="0.25">
      <c r="A103" s="29" t="s">
        <v>133</v>
      </c>
      <c r="B103" s="40" t="s">
        <v>1196</v>
      </c>
      <c r="C103" s="40" t="s">
        <v>118</v>
      </c>
      <c r="D103" s="40" t="s">
        <v>140</v>
      </c>
      <c r="E103" s="40" t="s">
        <v>134</v>
      </c>
      <c r="F103" s="9"/>
      <c r="G103" s="10">
        <f>'пр.4.1.ведом.22-23'!G250</f>
        <v>200</v>
      </c>
      <c r="H103" s="10">
        <f>'пр.4.1.ведом.22-23'!H250</f>
        <v>500</v>
      </c>
    </row>
    <row r="104" spans="1:8" s="191" customFormat="1" ht="47.25" x14ac:dyDescent="0.25">
      <c r="A104" s="45" t="s">
        <v>261</v>
      </c>
      <c r="B104" s="40" t="s">
        <v>1196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191" customFormat="1" ht="47.25" hidden="1" x14ac:dyDescent="0.25">
      <c r="A105" s="35" t="s">
        <v>885</v>
      </c>
      <c r="B105" s="20" t="s">
        <v>1295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191" customFormat="1" ht="31.5" hidden="1" x14ac:dyDescent="0.25">
      <c r="A106" s="25" t="s">
        <v>131</v>
      </c>
      <c r="B106" s="20" t="s">
        <v>1295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191" customFormat="1" ht="47.25" hidden="1" x14ac:dyDescent="0.25">
      <c r="A107" s="25" t="s">
        <v>133</v>
      </c>
      <c r="B107" s="20" t="s">
        <v>1295</v>
      </c>
      <c r="C107" s="40" t="s">
        <v>118</v>
      </c>
      <c r="D107" s="40" t="s">
        <v>140</v>
      </c>
      <c r="E107" s="40" t="s">
        <v>134</v>
      </c>
      <c r="F107" s="9"/>
      <c r="G107" s="10" t="e">
        <f>'пр.4.1.ведом.22-23'!#REF!</f>
        <v>#REF!</v>
      </c>
      <c r="H107" s="10" t="e">
        <f>'пр.4.1.ведом.22-23'!#REF!</f>
        <v>#REF!</v>
      </c>
    </row>
    <row r="108" spans="1:8" s="191" customFormat="1" ht="47.25" hidden="1" x14ac:dyDescent="0.25">
      <c r="A108" s="45" t="s">
        <v>261</v>
      </c>
      <c r="B108" s="20" t="s">
        <v>1295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1767</v>
      </c>
      <c r="H109" s="59">
        <f>H110+H117+H127</f>
        <v>2022</v>
      </c>
    </row>
    <row r="110" spans="1:8" ht="31.5" x14ac:dyDescent="0.25">
      <c r="A110" s="23" t="s">
        <v>1038</v>
      </c>
      <c r="B110" s="24" t="s">
        <v>912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912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912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1039</v>
      </c>
      <c r="B113" s="20" t="s">
        <v>1222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1222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1222</v>
      </c>
      <c r="C115" s="40" t="s">
        <v>244</v>
      </c>
      <c r="D115" s="40" t="s">
        <v>215</v>
      </c>
      <c r="E115" s="40" t="s">
        <v>349</v>
      </c>
      <c r="F115" s="40"/>
      <c r="G115" s="10">
        <f>'пр.4.1.ведом.22-23'!G457</f>
        <v>630</v>
      </c>
      <c r="H115" s="10">
        <f>'пр.4.1.ведом.22-23'!H457</f>
        <v>630</v>
      </c>
    </row>
    <row r="116" spans="1:8" ht="47.25" x14ac:dyDescent="0.25">
      <c r="A116" s="45" t="s">
        <v>261</v>
      </c>
      <c r="B116" s="20" t="s">
        <v>1222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1226</v>
      </c>
      <c r="B117" s="24" t="s">
        <v>1224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1224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1224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1223</v>
      </c>
      <c r="B120" s="20" t="s">
        <v>1225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1225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1225</v>
      </c>
      <c r="C122" s="40" t="s">
        <v>244</v>
      </c>
      <c r="D122" s="40" t="s">
        <v>215</v>
      </c>
      <c r="E122" s="40" t="s">
        <v>134</v>
      </c>
      <c r="F122" s="40"/>
      <c r="G122" s="10">
        <f>'пр.4.1.ведом.22-23'!G461</f>
        <v>400</v>
      </c>
      <c r="H122" s="10">
        <f>'пр.4.1.ведом.22-23'!H461</f>
        <v>400</v>
      </c>
    </row>
    <row r="123" spans="1:8" ht="47.25" x14ac:dyDescent="0.25">
      <c r="A123" s="45" t="s">
        <v>261</v>
      </c>
      <c r="B123" s="20" t="s">
        <v>1225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1225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1225</v>
      </c>
      <c r="C125" s="40" t="s">
        <v>244</v>
      </c>
      <c r="D125" s="40" t="s">
        <v>215</v>
      </c>
      <c r="E125" s="40" t="s">
        <v>349</v>
      </c>
      <c r="F125" s="40"/>
      <c r="G125" s="10">
        <f>'пр.4.1.ведом.22-23'!G463</f>
        <v>257</v>
      </c>
      <c r="H125" s="10">
        <f>'пр.4.1.ведом.22-23'!H463</f>
        <v>257</v>
      </c>
    </row>
    <row r="126" spans="1:8" ht="47.25" x14ac:dyDescent="0.25">
      <c r="A126" s="45" t="s">
        <v>261</v>
      </c>
      <c r="B126" s="20" t="s">
        <v>1225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996</v>
      </c>
      <c r="B127" s="24" t="s">
        <v>1219</v>
      </c>
      <c r="C127" s="7"/>
      <c r="D127" s="7"/>
      <c r="E127" s="7"/>
      <c r="F127" s="7"/>
      <c r="G127" s="59">
        <f>G134+G128</f>
        <v>480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1219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1219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995</v>
      </c>
      <c r="B130" s="20" t="s">
        <v>1220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1220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191" customFormat="1" ht="47.25" x14ac:dyDescent="0.25">
      <c r="A132" s="25" t="s">
        <v>133</v>
      </c>
      <c r="B132" s="20" t="s">
        <v>1220</v>
      </c>
      <c r="C132" s="40" t="s">
        <v>299</v>
      </c>
      <c r="D132" s="40" t="s">
        <v>150</v>
      </c>
      <c r="E132" s="40" t="s">
        <v>134</v>
      </c>
      <c r="F132" s="40"/>
      <c r="G132" s="10">
        <f>'пр.4.1.ведом.22-23'!G439</f>
        <v>260</v>
      </c>
      <c r="H132" s="10">
        <f>'пр.4.1.ведом.22-23'!H439</f>
        <v>285</v>
      </c>
    </row>
    <row r="133" spans="1:8" s="191" customFormat="1" ht="47.25" x14ac:dyDescent="0.25">
      <c r="A133" s="45" t="s">
        <v>261</v>
      </c>
      <c r="B133" s="20" t="s">
        <v>1220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191" customFormat="1" ht="15.75" x14ac:dyDescent="0.25">
      <c r="A134" s="45" t="s">
        <v>243</v>
      </c>
      <c r="B134" s="20" t="s">
        <v>1219</v>
      </c>
      <c r="C134" s="40" t="s">
        <v>244</v>
      </c>
      <c r="D134" s="40"/>
      <c r="E134" s="40"/>
      <c r="F134" s="40"/>
      <c r="G134" s="10">
        <f t="shared" ref="G134:H137" si="18">G135</f>
        <v>220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1219</v>
      </c>
      <c r="C135" s="40" t="s">
        <v>244</v>
      </c>
      <c r="D135" s="40" t="s">
        <v>215</v>
      </c>
      <c r="E135" s="40"/>
      <c r="F135" s="40"/>
      <c r="G135" s="10">
        <f t="shared" si="18"/>
        <v>220</v>
      </c>
      <c r="H135" s="10">
        <f t="shared" si="18"/>
        <v>450</v>
      </c>
    </row>
    <row r="136" spans="1:8" ht="15.75" x14ac:dyDescent="0.25">
      <c r="A136" s="25" t="s">
        <v>1036</v>
      </c>
      <c r="B136" s="20" t="s">
        <v>1221</v>
      </c>
      <c r="C136" s="40" t="s">
        <v>244</v>
      </c>
      <c r="D136" s="40" t="s">
        <v>215</v>
      </c>
      <c r="E136" s="40"/>
      <c r="F136" s="40"/>
      <c r="G136" s="10">
        <f t="shared" si="18"/>
        <v>220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1221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220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1221</v>
      </c>
      <c r="C138" s="40" t="s">
        <v>244</v>
      </c>
      <c r="D138" s="40" t="s">
        <v>215</v>
      </c>
      <c r="E138" s="40" t="s">
        <v>349</v>
      </c>
      <c r="F138" s="40"/>
      <c r="G138" s="10">
        <f>'Пр.4 ведом.21'!G525</f>
        <v>220</v>
      </c>
      <c r="H138" s="10">
        <f>'пр.4.1.ведом.22-23'!H467</f>
        <v>450</v>
      </c>
    </row>
    <row r="139" spans="1:8" ht="47.25" x14ac:dyDescent="0.25">
      <c r="A139" s="45" t="s">
        <v>261</v>
      </c>
      <c r="B139" s="20" t="s">
        <v>1221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220</v>
      </c>
      <c r="H139" s="10">
        <f>H138</f>
        <v>450</v>
      </c>
    </row>
    <row r="140" spans="1:8" ht="47.25" x14ac:dyDescent="0.25">
      <c r="A140" s="58" t="s">
        <v>1357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23" t="s">
        <v>936</v>
      </c>
      <c r="B141" s="24" t="s">
        <v>1228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1228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1228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1227</v>
      </c>
      <c r="B144" s="20" t="s">
        <v>1229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1229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1229</v>
      </c>
      <c r="C146" s="40" t="s">
        <v>264</v>
      </c>
      <c r="D146" s="40" t="s">
        <v>118</v>
      </c>
      <c r="E146" s="40" t="s">
        <v>275</v>
      </c>
      <c r="F146" s="40"/>
      <c r="G146" s="6">
        <f>'пр.4.1.ведом.22-23'!G554</f>
        <v>14795.6</v>
      </c>
      <c r="H146" s="6">
        <f>'пр.4.1.ведом.22-23'!H554</f>
        <v>14795.6</v>
      </c>
    </row>
    <row r="147" spans="1:8" ht="31.5" x14ac:dyDescent="0.25">
      <c r="A147" s="29" t="s">
        <v>403</v>
      </c>
      <c r="B147" s="20" t="s">
        <v>1229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1228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1247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1247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1247</v>
      </c>
      <c r="C151" s="40" t="s">
        <v>264</v>
      </c>
      <c r="D151" s="40" t="s">
        <v>213</v>
      </c>
      <c r="E151" s="40" t="s">
        <v>275</v>
      </c>
      <c r="F151" s="40"/>
      <c r="G151" s="6">
        <f>'пр.4.1.ведом.22-23'!G614</f>
        <v>28690.799999999999</v>
      </c>
      <c r="H151" s="6">
        <f>'пр.4.1.ведом.22-23'!H614</f>
        <v>28690.799999999999</v>
      </c>
    </row>
    <row r="152" spans="1:8" ht="31.5" x14ac:dyDescent="0.25">
      <c r="A152" s="29" t="s">
        <v>403</v>
      </c>
      <c r="B152" s="20" t="s">
        <v>1247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1228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1258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1258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1258</v>
      </c>
      <c r="C156" s="40" t="s">
        <v>264</v>
      </c>
      <c r="D156" s="40" t="s">
        <v>215</v>
      </c>
      <c r="E156" s="40" t="s">
        <v>275</v>
      </c>
      <c r="F156" s="40"/>
      <c r="G156" s="6">
        <f>'пр.4.1.ведом.22-23'!G696</f>
        <v>37056.300000000003</v>
      </c>
      <c r="H156" s="6">
        <f>'пр.4.1.ведом.22-23'!H696</f>
        <v>37056.300000000003</v>
      </c>
    </row>
    <row r="157" spans="1:8" ht="31.5" x14ac:dyDescent="0.25">
      <c r="A157" s="29" t="s">
        <v>403</v>
      </c>
      <c r="B157" s="20" t="s">
        <v>1258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899</v>
      </c>
      <c r="B158" s="24" t="s">
        <v>1230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1230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1230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191" customFormat="1" ht="110.25" x14ac:dyDescent="0.25">
      <c r="A161" s="31" t="s">
        <v>293</v>
      </c>
      <c r="B161" s="20" t="s">
        <v>1389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191" customFormat="1" ht="47.25" x14ac:dyDescent="0.25">
      <c r="A162" s="25" t="s">
        <v>272</v>
      </c>
      <c r="B162" s="20" t="s">
        <v>1389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191" customFormat="1" ht="15.75" x14ac:dyDescent="0.25">
      <c r="A163" s="25" t="s">
        <v>274</v>
      </c>
      <c r="B163" s="20" t="s">
        <v>1389</v>
      </c>
      <c r="C163" s="40" t="s">
        <v>264</v>
      </c>
      <c r="D163" s="40" t="s">
        <v>118</v>
      </c>
      <c r="E163" s="40" t="s">
        <v>275</v>
      </c>
      <c r="F163" s="40"/>
      <c r="G163" s="6">
        <f>'пр.4.1.ведом.22-23'!G558</f>
        <v>3230</v>
      </c>
      <c r="H163" s="6">
        <f>'пр.4.1.ведом.22-23'!H558</f>
        <v>3230</v>
      </c>
    </row>
    <row r="164" spans="1:8" s="191" customFormat="1" ht="31.5" x14ac:dyDescent="0.25">
      <c r="A164" s="29" t="s">
        <v>403</v>
      </c>
      <c r="B164" s="20" t="s">
        <v>1389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1231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1231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1231</v>
      </c>
      <c r="C167" s="40" t="s">
        <v>264</v>
      </c>
      <c r="D167" s="40" t="s">
        <v>118</v>
      </c>
      <c r="E167" s="40" t="s">
        <v>275</v>
      </c>
      <c r="F167" s="40"/>
      <c r="G167" s="6">
        <f>'пр.4.1.ведом.22-23'!G561</f>
        <v>589</v>
      </c>
      <c r="H167" s="6">
        <f>'пр.4.1.ведом.22-23'!H561</f>
        <v>589</v>
      </c>
    </row>
    <row r="168" spans="1:8" ht="31.5" x14ac:dyDescent="0.25">
      <c r="A168" s="29" t="s">
        <v>403</v>
      </c>
      <c r="B168" s="20" t="s">
        <v>1231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1232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1232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1232</v>
      </c>
      <c r="C171" s="40" t="s">
        <v>264</v>
      </c>
      <c r="D171" s="40" t="s">
        <v>118</v>
      </c>
      <c r="E171" s="40" t="s">
        <v>275</v>
      </c>
      <c r="F171" s="40"/>
      <c r="G171" s="6">
        <f>'пр.4.1.ведом.22-23'!G564</f>
        <v>1629.3</v>
      </c>
      <c r="H171" s="6">
        <f>'пр.4.1.ведом.22-23'!H564</f>
        <v>1629.3</v>
      </c>
    </row>
    <row r="172" spans="1:8" ht="31.5" x14ac:dyDescent="0.25">
      <c r="A172" s="29" t="s">
        <v>403</v>
      </c>
      <c r="B172" s="20" t="s">
        <v>1232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1181</v>
      </c>
      <c r="B173" s="20" t="s">
        <v>1233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1233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1233</v>
      </c>
      <c r="C175" s="40" t="s">
        <v>264</v>
      </c>
      <c r="D175" s="40" t="s">
        <v>118</v>
      </c>
      <c r="E175" s="40" t="s">
        <v>275</v>
      </c>
      <c r="F175" s="40"/>
      <c r="G175" s="6">
        <f>'пр.4.1.ведом.22-23'!G567</f>
        <v>70113.2</v>
      </c>
      <c r="H175" s="6">
        <f>'пр.4.1.ведом.22-23'!H567</f>
        <v>74475.8</v>
      </c>
    </row>
    <row r="176" spans="1:8" ht="31.5" x14ac:dyDescent="0.25">
      <c r="A176" s="29" t="s">
        <v>403</v>
      </c>
      <c r="B176" s="20" t="s">
        <v>1233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1230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191" customFormat="1" ht="78.75" x14ac:dyDescent="0.25">
      <c r="A178" s="25" t="s">
        <v>1391</v>
      </c>
      <c r="B178" s="20" t="s">
        <v>1392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191" customFormat="1" ht="47.25" x14ac:dyDescent="0.25">
      <c r="A179" s="25" t="s">
        <v>272</v>
      </c>
      <c r="B179" s="20" t="s">
        <v>1392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191" customFormat="1" ht="15.75" x14ac:dyDescent="0.25">
      <c r="A180" s="25" t="s">
        <v>274</v>
      </c>
      <c r="B180" s="20" t="s">
        <v>1392</v>
      </c>
      <c r="C180" s="40" t="s">
        <v>264</v>
      </c>
      <c r="D180" s="40" t="s">
        <v>213</v>
      </c>
      <c r="E180" s="40" t="s">
        <v>275</v>
      </c>
      <c r="F180" s="40"/>
      <c r="G180" s="10">
        <f>'пр.4.1.ведом.22-23'!G618</f>
        <v>7226.1</v>
      </c>
      <c r="H180" s="10">
        <f>'пр.4.1.ведом.22-23'!H618</f>
        <v>7226.1</v>
      </c>
    </row>
    <row r="181" spans="1:8" s="191" customFormat="1" ht="31.5" x14ac:dyDescent="0.25">
      <c r="A181" s="45" t="s">
        <v>403</v>
      </c>
      <c r="B181" s="20" t="s">
        <v>1392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191" customFormat="1" ht="110.25" x14ac:dyDescent="0.25">
      <c r="A182" s="31" t="s">
        <v>464</v>
      </c>
      <c r="B182" s="20" t="s">
        <v>1389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191" customFormat="1" ht="47.25" x14ac:dyDescent="0.25">
      <c r="A183" s="25" t="s">
        <v>272</v>
      </c>
      <c r="B183" s="20" t="s">
        <v>1389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191" customFormat="1" ht="15.75" x14ac:dyDescent="0.25">
      <c r="A184" s="25" t="s">
        <v>274</v>
      </c>
      <c r="B184" s="20" t="s">
        <v>1389</v>
      </c>
      <c r="C184" s="40" t="s">
        <v>264</v>
      </c>
      <c r="D184" s="40" t="s">
        <v>213</v>
      </c>
      <c r="E184" s="40" t="s">
        <v>275</v>
      </c>
      <c r="F184" s="40"/>
      <c r="G184" s="6">
        <f>'пр.4.1.ведом.22-23'!G621</f>
        <v>4610</v>
      </c>
      <c r="H184" s="6">
        <f>'пр.4.1.ведом.22-23'!H621</f>
        <v>4610</v>
      </c>
    </row>
    <row r="185" spans="1:8" s="191" customFormat="1" ht="31.5" x14ac:dyDescent="0.25">
      <c r="A185" s="29" t="s">
        <v>403</v>
      </c>
      <c r="B185" s="20" t="s">
        <v>1389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1182</v>
      </c>
      <c r="B186" s="20" t="s">
        <v>1248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1248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1248</v>
      </c>
      <c r="C188" s="40" t="s">
        <v>264</v>
      </c>
      <c r="D188" s="40" t="s">
        <v>213</v>
      </c>
      <c r="E188" s="40" t="s">
        <v>275</v>
      </c>
      <c r="F188" s="40"/>
      <c r="G188" s="6">
        <f>'пр.4.1.ведом.22-23'!G624</f>
        <v>115047.8</v>
      </c>
      <c r="H188" s="6">
        <f>'пр.4.1.ведом.22-23'!H624</f>
        <v>134211.70000000001</v>
      </c>
    </row>
    <row r="189" spans="1:8" ht="31.5" x14ac:dyDescent="0.25">
      <c r="A189" s="29" t="s">
        <v>403</v>
      </c>
      <c r="B189" s="20" t="s">
        <v>1248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1231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1231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1231</v>
      </c>
      <c r="C192" s="40" t="s">
        <v>264</v>
      </c>
      <c r="D192" s="40" t="s">
        <v>213</v>
      </c>
      <c r="E192" s="40" t="s">
        <v>275</v>
      </c>
      <c r="F192" s="40"/>
      <c r="G192" s="6">
        <f>'пр.4.1.ведом.22-23'!G627</f>
        <v>1311</v>
      </c>
      <c r="H192" s="6">
        <f>'пр.4.1.ведом.22-23'!H627</f>
        <v>1311</v>
      </c>
    </row>
    <row r="193" spans="1:8" ht="31.5" x14ac:dyDescent="0.25">
      <c r="A193" s="29" t="s">
        <v>403</v>
      </c>
      <c r="B193" s="20" t="s">
        <v>1231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1232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1232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1232</v>
      </c>
      <c r="C196" s="40" t="s">
        <v>264</v>
      </c>
      <c r="D196" s="40" t="s">
        <v>213</v>
      </c>
      <c r="E196" s="40" t="s">
        <v>275</v>
      </c>
      <c r="F196" s="40"/>
      <c r="G196" s="6">
        <f>'пр.4.1.ведом.22-23'!G630</f>
        <v>2266.6999999999998</v>
      </c>
      <c r="H196" s="6">
        <f>'пр.4.1.ведом.22-23'!H630</f>
        <v>2266.6999999999998</v>
      </c>
    </row>
    <row r="197" spans="1:8" ht="31.5" x14ac:dyDescent="0.25">
      <c r="A197" s="29" t="s">
        <v>403</v>
      </c>
      <c r="B197" s="20" t="s">
        <v>1232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1249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1249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1249</v>
      </c>
      <c r="C200" s="40" t="s">
        <v>264</v>
      </c>
      <c r="D200" s="40" t="s">
        <v>213</v>
      </c>
      <c r="E200" s="40" t="s">
        <v>275</v>
      </c>
      <c r="F200" s="40"/>
      <c r="G200" s="6">
        <f>'пр.4.1.ведом.22-23'!G633</f>
        <v>909.3</v>
      </c>
      <c r="H200" s="6">
        <f>'пр.4.1.ведом.22-23'!H633</f>
        <v>909.3</v>
      </c>
    </row>
    <row r="201" spans="1:8" ht="31.5" x14ac:dyDescent="0.25">
      <c r="A201" s="29" t="s">
        <v>403</v>
      </c>
      <c r="B201" s="20" t="s">
        <v>1249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1230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191" customFormat="1" ht="110.25" x14ac:dyDescent="0.25">
      <c r="A203" s="31" t="s">
        <v>293</v>
      </c>
      <c r="B203" s="20" t="s">
        <v>1389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191" customFormat="1" ht="47.25" x14ac:dyDescent="0.25">
      <c r="A204" s="25" t="s">
        <v>272</v>
      </c>
      <c r="B204" s="20" t="s">
        <v>1389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191" customFormat="1" ht="15.75" x14ac:dyDescent="0.25">
      <c r="A205" s="25" t="s">
        <v>274</v>
      </c>
      <c r="B205" s="20" t="s">
        <v>1389</v>
      </c>
      <c r="C205" s="40" t="s">
        <v>264</v>
      </c>
      <c r="D205" s="40" t="s">
        <v>215</v>
      </c>
      <c r="E205" s="40" t="s">
        <v>275</v>
      </c>
      <c r="F205" s="40"/>
      <c r="G205" s="6">
        <f>'пр.4.1.ведом.22-23'!G700</f>
        <v>1400</v>
      </c>
      <c r="H205" s="6">
        <f>'пр.4.1.ведом.22-23'!H700</f>
        <v>1400</v>
      </c>
    </row>
    <row r="206" spans="1:8" s="191" customFormat="1" ht="31.5" x14ac:dyDescent="0.25">
      <c r="A206" s="29" t="s">
        <v>403</v>
      </c>
      <c r="B206" s="20" t="s">
        <v>1389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1231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1231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1231</v>
      </c>
      <c r="C209" s="40" t="s">
        <v>264</v>
      </c>
      <c r="D209" s="40" t="s">
        <v>215</v>
      </c>
      <c r="E209" s="40" t="s">
        <v>275</v>
      </c>
      <c r="F209" s="40"/>
      <c r="G209" s="6">
        <f>'пр.4.1.ведом.22-23'!G703</f>
        <v>179</v>
      </c>
      <c r="H209" s="6">
        <f>'пр.4.1.ведом.22-23'!H703</f>
        <v>179</v>
      </c>
    </row>
    <row r="210" spans="1:8" ht="31.5" x14ac:dyDescent="0.25">
      <c r="A210" s="29" t="s">
        <v>403</v>
      </c>
      <c r="B210" s="20" t="s">
        <v>1231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1232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1232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1232</v>
      </c>
      <c r="C213" s="40" t="s">
        <v>264</v>
      </c>
      <c r="D213" s="40" t="s">
        <v>215</v>
      </c>
      <c r="E213" s="40" t="s">
        <v>275</v>
      </c>
      <c r="F213" s="40"/>
      <c r="G213" s="6">
        <f>'пр.4.1.ведом.22-23'!G706</f>
        <v>549.5</v>
      </c>
      <c r="H213" s="6">
        <f>'пр.4.1.ведом.22-23'!H706</f>
        <v>549.5</v>
      </c>
    </row>
    <row r="214" spans="1:8" ht="31.5" x14ac:dyDescent="0.25">
      <c r="A214" s="29" t="s">
        <v>403</v>
      </c>
      <c r="B214" s="20" t="s">
        <v>1232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1290</v>
      </c>
      <c r="B215" s="24" t="s">
        <v>1235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263</v>
      </c>
      <c r="B216" s="20" t="s">
        <v>1235</v>
      </c>
      <c r="C216" s="40" t="s">
        <v>264</v>
      </c>
      <c r="D216" s="40"/>
      <c r="E216" s="40"/>
      <c r="F216" s="40"/>
      <c r="G216" s="10">
        <f t="shared" ref="G216:H216" si="22">G217</f>
        <v>4430</v>
      </c>
      <c r="H216" s="10">
        <f t="shared" si="22"/>
        <v>4430</v>
      </c>
    </row>
    <row r="217" spans="1:8" ht="15.75" x14ac:dyDescent="0.25">
      <c r="A217" s="45" t="s">
        <v>404</v>
      </c>
      <c r="B217" s="20" t="s">
        <v>1235</v>
      </c>
      <c r="C217" s="40" t="s">
        <v>264</v>
      </c>
      <c r="D217" s="40" t="s">
        <v>118</v>
      </c>
      <c r="E217" s="40"/>
      <c r="F217" s="40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278</v>
      </c>
      <c r="B218" s="20" t="s">
        <v>1316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0</v>
      </c>
      <c r="H218" s="10">
        <f t="shared" si="23"/>
        <v>0</v>
      </c>
    </row>
    <row r="219" spans="1:8" ht="47.25" hidden="1" x14ac:dyDescent="0.25">
      <c r="A219" s="29" t="s">
        <v>272</v>
      </c>
      <c r="B219" s="20" t="s">
        <v>1316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0</v>
      </c>
      <c r="H219" s="10">
        <f t="shared" si="23"/>
        <v>0</v>
      </c>
    </row>
    <row r="220" spans="1:8" ht="15.75" hidden="1" x14ac:dyDescent="0.25">
      <c r="A220" s="29" t="s">
        <v>274</v>
      </c>
      <c r="B220" s="20" t="s">
        <v>1316</v>
      </c>
      <c r="C220" s="40" t="s">
        <v>264</v>
      </c>
      <c r="D220" s="40" t="s">
        <v>118</v>
      </c>
      <c r="E220" s="40" t="s">
        <v>275</v>
      </c>
      <c r="F220" s="40"/>
      <c r="G220" s="10">
        <f>'пр.4.1.ведом.22-23'!G571</f>
        <v>0</v>
      </c>
      <c r="H220" s="10">
        <f>'пр.4.1.ведом.22-23'!H571</f>
        <v>0</v>
      </c>
    </row>
    <row r="221" spans="1:8" ht="31.5" hidden="1" x14ac:dyDescent="0.25">
      <c r="A221" s="29" t="s">
        <v>403</v>
      </c>
      <c r="B221" s="20" t="s">
        <v>1316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280</v>
      </c>
      <c r="B222" s="20" t="s">
        <v>1317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0</v>
      </c>
      <c r="H222" s="10">
        <f t="shared" si="24"/>
        <v>0</v>
      </c>
    </row>
    <row r="223" spans="1:8" ht="47.25" hidden="1" x14ac:dyDescent="0.25">
      <c r="A223" s="29" t="s">
        <v>272</v>
      </c>
      <c r="B223" s="20" t="s">
        <v>1317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0</v>
      </c>
      <c r="H223" s="10">
        <f t="shared" si="24"/>
        <v>0</v>
      </c>
    </row>
    <row r="224" spans="1:8" ht="15.75" hidden="1" x14ac:dyDescent="0.25">
      <c r="A224" s="29" t="s">
        <v>274</v>
      </c>
      <c r="B224" s="20" t="s">
        <v>1317</v>
      </c>
      <c r="C224" s="40" t="s">
        <v>264</v>
      </c>
      <c r="D224" s="40" t="s">
        <v>118</v>
      </c>
      <c r="E224" s="40" t="s">
        <v>275</v>
      </c>
      <c r="F224" s="40"/>
      <c r="G224" s="10">
        <f>'пр.4.1.ведом.22-23'!G574</f>
        <v>0</v>
      </c>
      <c r="H224" s="10">
        <f>'пр.4.1.ведом.22-23'!H574</f>
        <v>0</v>
      </c>
    </row>
    <row r="225" spans="1:8" ht="31.5" hidden="1" x14ac:dyDescent="0.25">
      <c r="A225" s="29" t="s">
        <v>403</v>
      </c>
      <c r="B225" s="20" t="s">
        <v>1317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415</v>
      </c>
      <c r="B226" s="20" t="s">
        <v>1236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1236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1236</v>
      </c>
      <c r="C228" s="40" t="s">
        <v>264</v>
      </c>
      <c r="D228" s="40" t="s">
        <v>118</v>
      </c>
      <c r="E228" s="40" t="s">
        <v>275</v>
      </c>
      <c r="F228" s="40"/>
      <c r="G228" s="6">
        <f>'пр.4.1.ведом.22-23'!G577</f>
        <v>4430</v>
      </c>
      <c r="H228" s="6">
        <f>'пр.4.1.ведом.22-23'!H577</f>
        <v>4430</v>
      </c>
    </row>
    <row r="229" spans="1:8" ht="31.5" x14ac:dyDescent="0.25">
      <c r="A229" s="29" t="s">
        <v>403</v>
      </c>
      <c r="B229" s="20" t="s">
        <v>1236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191" customFormat="1" ht="15.75" x14ac:dyDescent="0.25">
      <c r="A230" s="29" t="s">
        <v>263</v>
      </c>
      <c r="B230" s="40" t="s">
        <v>1235</v>
      </c>
      <c r="C230" s="40" t="s">
        <v>264</v>
      </c>
      <c r="D230" s="40"/>
      <c r="E230" s="40"/>
      <c r="F230" s="40"/>
      <c r="G230" s="10">
        <f t="shared" ref="G230:H230" si="26">G231</f>
        <v>224</v>
      </c>
      <c r="H230" s="10">
        <f t="shared" si="26"/>
        <v>224</v>
      </c>
    </row>
    <row r="231" spans="1:8" s="191" customFormat="1" ht="15.75" x14ac:dyDescent="0.25">
      <c r="A231" s="29" t="s">
        <v>425</v>
      </c>
      <c r="B231" s="40" t="s">
        <v>1235</v>
      </c>
      <c r="C231" s="40" t="s">
        <v>264</v>
      </c>
      <c r="D231" s="40" t="s">
        <v>213</v>
      </c>
      <c r="E231" s="40"/>
      <c r="F231" s="40"/>
      <c r="G231" s="10">
        <f>G232+G236+G240+G244</f>
        <v>224</v>
      </c>
      <c r="H231" s="10">
        <f>H232+H236+H240+H244</f>
        <v>224</v>
      </c>
    </row>
    <row r="232" spans="1:8" s="191" customFormat="1" ht="47.25" hidden="1" x14ac:dyDescent="0.25">
      <c r="A232" s="25" t="s">
        <v>789</v>
      </c>
      <c r="B232" s="20" t="s">
        <v>1315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191" customFormat="1" ht="47.25" hidden="1" x14ac:dyDescent="0.25">
      <c r="A233" s="25" t="s">
        <v>272</v>
      </c>
      <c r="B233" s="20" t="s">
        <v>1315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191" customFormat="1" ht="15.75" hidden="1" x14ac:dyDescent="0.25">
      <c r="A234" s="25" t="s">
        <v>274</v>
      </c>
      <c r="B234" s="20" t="s">
        <v>1315</v>
      </c>
      <c r="C234" s="40" t="s">
        <v>264</v>
      </c>
      <c r="D234" s="40" t="s">
        <v>213</v>
      </c>
      <c r="E234" s="40" t="s">
        <v>275</v>
      </c>
      <c r="F234" s="40"/>
      <c r="G234" s="6">
        <f>'пр.4.1.ведом.22-23'!G637</f>
        <v>0</v>
      </c>
      <c r="H234" s="6">
        <f>'пр.4.1.ведом.22-23'!H637</f>
        <v>0</v>
      </c>
    </row>
    <row r="235" spans="1:8" s="191" customFormat="1" ht="31.5" hidden="1" x14ac:dyDescent="0.25">
      <c r="A235" s="29" t="s">
        <v>403</v>
      </c>
      <c r="B235" s="20" t="s">
        <v>1315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191" customFormat="1" ht="47.25" hidden="1" x14ac:dyDescent="0.25">
      <c r="A236" s="25" t="s">
        <v>278</v>
      </c>
      <c r="B236" s="20" t="s">
        <v>1316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0</v>
      </c>
      <c r="H236" s="6">
        <f t="shared" si="27"/>
        <v>0</v>
      </c>
    </row>
    <row r="237" spans="1:8" s="191" customFormat="1" ht="47.25" hidden="1" x14ac:dyDescent="0.25">
      <c r="A237" s="25" t="s">
        <v>272</v>
      </c>
      <c r="B237" s="20" t="s">
        <v>1316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0</v>
      </c>
      <c r="H237" s="6">
        <f t="shared" si="27"/>
        <v>0</v>
      </c>
    </row>
    <row r="238" spans="1:8" s="191" customFormat="1" ht="15.75" hidden="1" x14ac:dyDescent="0.25">
      <c r="A238" s="25" t="s">
        <v>274</v>
      </c>
      <c r="B238" s="20" t="s">
        <v>1316</v>
      </c>
      <c r="C238" s="40" t="s">
        <v>264</v>
      </c>
      <c r="D238" s="40" t="s">
        <v>213</v>
      </c>
      <c r="E238" s="40" t="s">
        <v>275</v>
      </c>
      <c r="F238" s="40"/>
      <c r="G238" s="6">
        <f>'пр.4.1.ведом.22-23'!G640</f>
        <v>0</v>
      </c>
      <c r="H238" s="6">
        <f>'пр.4.1.ведом.22-23'!H640</f>
        <v>0</v>
      </c>
    </row>
    <row r="239" spans="1:8" s="191" customFormat="1" ht="31.5" hidden="1" x14ac:dyDescent="0.25">
      <c r="A239" s="29" t="s">
        <v>403</v>
      </c>
      <c r="B239" s="20" t="s">
        <v>1316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0</v>
      </c>
      <c r="H239" s="10">
        <f>H238</f>
        <v>0</v>
      </c>
    </row>
    <row r="240" spans="1:8" s="191" customFormat="1" ht="31.5" hidden="1" x14ac:dyDescent="0.25">
      <c r="A240" s="25" t="s">
        <v>280</v>
      </c>
      <c r="B240" s="20" t="s">
        <v>1317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191" customFormat="1" ht="47.25" hidden="1" x14ac:dyDescent="0.25">
      <c r="A241" s="25" t="s">
        <v>272</v>
      </c>
      <c r="B241" s="20" t="s">
        <v>1317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0</v>
      </c>
      <c r="H241" s="6">
        <f t="shared" si="28"/>
        <v>0</v>
      </c>
    </row>
    <row r="242" spans="1:8" s="191" customFormat="1" ht="15.75" hidden="1" x14ac:dyDescent="0.25">
      <c r="A242" s="25" t="s">
        <v>274</v>
      </c>
      <c r="B242" s="20" t="s">
        <v>1317</v>
      </c>
      <c r="C242" s="40" t="s">
        <v>264</v>
      </c>
      <c r="D242" s="40" t="s">
        <v>213</v>
      </c>
      <c r="E242" s="40" t="s">
        <v>275</v>
      </c>
      <c r="F242" s="40"/>
      <c r="G242" s="6">
        <f>'пр.4.1.ведом.22-23'!G643</f>
        <v>0</v>
      </c>
      <c r="H242" s="6">
        <f>'пр.4.1.ведом.22-23'!H643</f>
        <v>0</v>
      </c>
    </row>
    <row r="243" spans="1:8" s="191" customFormat="1" ht="31.5" hidden="1" x14ac:dyDescent="0.25">
      <c r="A243" s="29" t="s">
        <v>403</v>
      </c>
      <c r="B243" s="20" t="s">
        <v>1317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0</v>
      </c>
      <c r="H243" s="10">
        <f>H242</f>
        <v>0</v>
      </c>
    </row>
    <row r="244" spans="1:8" s="191" customFormat="1" ht="47.25" x14ac:dyDescent="0.25">
      <c r="A244" s="29" t="s">
        <v>282</v>
      </c>
      <c r="B244" s="20" t="s">
        <v>1251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191" customFormat="1" ht="47.25" x14ac:dyDescent="0.25">
      <c r="A245" s="29" t="s">
        <v>272</v>
      </c>
      <c r="B245" s="20" t="s">
        <v>1251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191" customFormat="1" ht="15.75" x14ac:dyDescent="0.25">
      <c r="A246" s="29" t="s">
        <v>274</v>
      </c>
      <c r="B246" s="20" t="s">
        <v>1251</v>
      </c>
      <c r="C246" s="40" t="s">
        <v>264</v>
      </c>
      <c r="D246" s="40" t="s">
        <v>213</v>
      </c>
      <c r="E246" s="40" t="s">
        <v>275</v>
      </c>
      <c r="F246" s="40"/>
      <c r="G246" s="10">
        <f>'пр.4.1.ведом.22-23'!G646</f>
        <v>224</v>
      </c>
      <c r="H246" s="10">
        <f>'пр.4.1.ведом.22-23'!H646</f>
        <v>224</v>
      </c>
    </row>
    <row r="247" spans="1:8" s="191" customFormat="1" ht="31.5" x14ac:dyDescent="0.25">
      <c r="A247" s="29" t="s">
        <v>403</v>
      </c>
      <c r="B247" s="20" t="s">
        <v>1251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191" customFormat="1" ht="31.5" x14ac:dyDescent="0.25">
      <c r="A248" s="23" t="s">
        <v>942</v>
      </c>
      <c r="B248" s="24" t="s">
        <v>1237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191" customFormat="1" ht="15.75" x14ac:dyDescent="0.25">
      <c r="A249" s="29" t="s">
        <v>263</v>
      </c>
      <c r="B249" s="20" t="s">
        <v>1237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191" customFormat="1" ht="22.7" customHeight="1" x14ac:dyDescent="0.25">
      <c r="A250" s="29" t="s">
        <v>466</v>
      </c>
      <c r="B250" s="20" t="s">
        <v>1237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191" customFormat="1" ht="47.25" x14ac:dyDescent="0.25">
      <c r="A251" s="31" t="s">
        <v>1060</v>
      </c>
      <c r="B251" s="20" t="s">
        <v>1259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191" customFormat="1" ht="47.25" x14ac:dyDescent="0.25">
      <c r="A252" s="25" t="s">
        <v>272</v>
      </c>
      <c r="B252" s="20" t="s">
        <v>1259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191" customFormat="1" ht="15.75" x14ac:dyDescent="0.25">
      <c r="A253" s="25" t="s">
        <v>274</v>
      </c>
      <c r="B253" s="20" t="s">
        <v>1259</v>
      </c>
      <c r="C253" s="40" t="s">
        <v>264</v>
      </c>
      <c r="D253" s="40" t="s">
        <v>264</v>
      </c>
      <c r="E253" s="40" t="s">
        <v>275</v>
      </c>
      <c r="F253" s="40"/>
      <c r="G253" s="10">
        <f>'пр.4.1.ведом.22-23'!G725</f>
        <v>5745.1</v>
      </c>
      <c r="H253" s="10">
        <f>'пр.4.1.ведом.22-23'!H725</f>
        <v>5745.1</v>
      </c>
    </row>
    <row r="254" spans="1:8" s="191" customFormat="1" ht="31.5" x14ac:dyDescent="0.25">
      <c r="A254" s="29" t="s">
        <v>403</v>
      </c>
      <c r="B254" s="20" t="s">
        <v>1259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03" t="s">
        <v>947</v>
      </c>
      <c r="B255" s="24" t="s">
        <v>1238</v>
      </c>
      <c r="C255" s="7"/>
      <c r="D255" s="7"/>
      <c r="E255" s="7"/>
      <c r="F255" s="7"/>
      <c r="G255" s="4">
        <f>G256</f>
        <v>9300</v>
      </c>
      <c r="H255" s="4">
        <f>H256</f>
        <v>9300</v>
      </c>
    </row>
    <row r="256" spans="1:8" ht="15.75" x14ac:dyDescent="0.25">
      <c r="A256" s="29" t="s">
        <v>263</v>
      </c>
      <c r="B256" s="20" t="s">
        <v>1238</v>
      </c>
      <c r="C256" s="40" t="s">
        <v>264</v>
      </c>
      <c r="D256" s="40"/>
      <c r="E256" s="40"/>
      <c r="F256" s="40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20" t="s">
        <v>1238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1256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1256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1256</v>
      </c>
      <c r="C260" s="40" t="s">
        <v>264</v>
      </c>
      <c r="D260" s="40" t="s">
        <v>118</v>
      </c>
      <c r="E260" s="40" t="s">
        <v>275</v>
      </c>
      <c r="F260" s="40"/>
      <c r="G260" s="10">
        <f>'пр.4.1.ведом.22-23'!G581</f>
        <v>0</v>
      </c>
      <c r="H260" s="10">
        <f>'пр.4.1.ведом.22-23'!H581</f>
        <v>0</v>
      </c>
    </row>
    <row r="261" spans="1:8" ht="31.5" hidden="1" x14ac:dyDescent="0.25">
      <c r="A261" s="29" t="s">
        <v>403</v>
      </c>
      <c r="B261" s="20" t="s">
        <v>1256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1239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1239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0" t="s">
        <v>274</v>
      </c>
      <c r="B264" s="20" t="s">
        <v>1239</v>
      </c>
      <c r="C264" s="20" t="s">
        <v>264</v>
      </c>
      <c r="D264" s="20" t="s">
        <v>118</v>
      </c>
      <c r="E264" s="20" t="s">
        <v>275</v>
      </c>
      <c r="F264" s="20"/>
      <c r="G264" s="10">
        <f>'пр.4.1.ведом.22-23'!G584</f>
        <v>3088</v>
      </c>
      <c r="H264" s="10">
        <f>'пр.4.1.ведом.22-23'!H584</f>
        <v>3088</v>
      </c>
    </row>
    <row r="265" spans="1:8" ht="31.5" x14ac:dyDescent="0.25">
      <c r="A265" s="29" t="s">
        <v>403</v>
      </c>
      <c r="B265" s="20" t="s">
        <v>1239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1240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1240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0" t="s">
        <v>274</v>
      </c>
      <c r="B268" s="20" t="s">
        <v>1240</v>
      </c>
      <c r="C268" s="20" t="s">
        <v>264</v>
      </c>
      <c r="D268" s="20" t="s">
        <v>118</v>
      </c>
      <c r="E268" s="20" t="s">
        <v>275</v>
      </c>
      <c r="F268" s="20"/>
      <c r="G268" s="10">
        <f>'пр.4.1.ведом.22-23'!G587</f>
        <v>1760</v>
      </c>
      <c r="H268" s="10">
        <f>'пр.4.1.ведом.22-23'!H587</f>
        <v>1760</v>
      </c>
    </row>
    <row r="269" spans="1:8" ht="31.5" x14ac:dyDescent="0.25">
      <c r="A269" s="29" t="s">
        <v>403</v>
      </c>
      <c r="B269" s="20" t="s">
        <v>1240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'пр.4.1.ведом.22-23'!H587</f>
        <v>1760</v>
      </c>
    </row>
    <row r="270" spans="1:8" s="191" customFormat="1" ht="15.75" x14ac:dyDescent="0.25">
      <c r="A270" s="29" t="s">
        <v>425</v>
      </c>
      <c r="B270" s="40" t="s">
        <v>1238</v>
      </c>
      <c r="C270" s="40" t="s">
        <v>264</v>
      </c>
      <c r="D270" s="40" t="s">
        <v>213</v>
      </c>
      <c r="E270" s="40"/>
      <c r="F270" s="40"/>
      <c r="G270" s="10">
        <f>G271+G275</f>
        <v>2888</v>
      </c>
      <c r="H270" s="10">
        <f>H271+H275</f>
        <v>2888</v>
      </c>
    </row>
    <row r="271" spans="1:8" s="191" customFormat="1" ht="31.5" hidden="1" x14ac:dyDescent="0.25">
      <c r="A271" s="29" t="s">
        <v>284</v>
      </c>
      <c r="B271" s="20" t="s">
        <v>1256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0</v>
      </c>
      <c r="H271" s="10">
        <f t="shared" si="34"/>
        <v>0</v>
      </c>
    </row>
    <row r="272" spans="1:8" s="191" customFormat="1" ht="47.25" hidden="1" x14ac:dyDescent="0.25">
      <c r="A272" s="29" t="s">
        <v>272</v>
      </c>
      <c r="B272" s="20" t="s">
        <v>1256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0</v>
      </c>
      <c r="H272" s="10">
        <f t="shared" si="34"/>
        <v>0</v>
      </c>
    </row>
    <row r="273" spans="1:8" s="191" customFormat="1" ht="15.75" hidden="1" x14ac:dyDescent="0.25">
      <c r="A273" s="29" t="s">
        <v>274</v>
      </c>
      <c r="B273" s="20" t="s">
        <v>1256</v>
      </c>
      <c r="C273" s="40" t="s">
        <v>264</v>
      </c>
      <c r="D273" s="40" t="s">
        <v>213</v>
      </c>
      <c r="E273" s="40" t="s">
        <v>275</v>
      </c>
      <c r="F273" s="40"/>
      <c r="G273" s="10">
        <f>'пр.4.1.ведом.22-23'!G650</f>
        <v>0</v>
      </c>
      <c r="H273" s="10">
        <f>'пр.4.1.ведом.22-23'!H650</f>
        <v>0</v>
      </c>
    </row>
    <row r="274" spans="1:8" s="191" customFormat="1" ht="31.5" hidden="1" x14ac:dyDescent="0.25">
      <c r="A274" s="29" t="s">
        <v>403</v>
      </c>
      <c r="B274" s="20" t="s">
        <v>1256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0</v>
      </c>
      <c r="H274" s="10">
        <f>H273</f>
        <v>0</v>
      </c>
    </row>
    <row r="275" spans="1:8" s="191" customFormat="1" ht="47.25" x14ac:dyDescent="0.25">
      <c r="A275" s="60" t="s">
        <v>764</v>
      </c>
      <c r="B275" s="20" t="s">
        <v>1239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191" customFormat="1" ht="47.25" x14ac:dyDescent="0.25">
      <c r="A276" s="29" t="s">
        <v>272</v>
      </c>
      <c r="B276" s="20" t="s">
        <v>1239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191" customFormat="1" ht="15.75" x14ac:dyDescent="0.25">
      <c r="A277" s="180" t="s">
        <v>274</v>
      </c>
      <c r="B277" s="20" t="s">
        <v>1239</v>
      </c>
      <c r="C277" s="40" t="s">
        <v>264</v>
      </c>
      <c r="D277" s="40" t="s">
        <v>213</v>
      </c>
      <c r="E277" s="40" t="s">
        <v>275</v>
      </c>
      <c r="F277" s="40"/>
      <c r="G277" s="10">
        <f>'пр.4.1.ведом.22-23'!G653</f>
        <v>2888</v>
      </c>
      <c r="H277" s="10">
        <f>'пр.4.1.ведом.22-23'!H653</f>
        <v>2888</v>
      </c>
    </row>
    <row r="278" spans="1:8" s="191" customFormat="1" ht="31.5" x14ac:dyDescent="0.25">
      <c r="A278" s="29" t="s">
        <v>403</v>
      </c>
      <c r="B278" s="20" t="s">
        <v>1239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191" customFormat="1" ht="15.75" x14ac:dyDescent="0.25">
      <c r="A279" s="29" t="s">
        <v>265</v>
      </c>
      <c r="B279" s="40" t="s">
        <v>1238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191" customFormat="1" ht="47.25" x14ac:dyDescent="0.25">
      <c r="A280" s="45" t="s">
        <v>764</v>
      </c>
      <c r="B280" s="20" t="s">
        <v>1239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191" customFormat="1" ht="47.25" x14ac:dyDescent="0.25">
      <c r="A281" s="29" t="s">
        <v>272</v>
      </c>
      <c r="B281" s="20" t="s">
        <v>1239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191" customFormat="1" ht="15.75" x14ac:dyDescent="0.25">
      <c r="A282" s="31" t="s">
        <v>274</v>
      </c>
      <c r="B282" s="20" t="s">
        <v>1239</v>
      </c>
      <c r="C282" s="20" t="s">
        <v>264</v>
      </c>
      <c r="D282" s="20" t="s">
        <v>215</v>
      </c>
      <c r="E282" s="20" t="s">
        <v>275</v>
      </c>
      <c r="F282" s="20"/>
      <c r="G282" s="10">
        <f>'пр.4.1.ведом.22-23'!G714</f>
        <v>1564</v>
      </c>
      <c r="H282" s="10">
        <f>'пр.4.1.ведом.22-23'!H714</f>
        <v>1564</v>
      </c>
    </row>
    <row r="283" spans="1:8" s="191" customFormat="1" ht="31.5" x14ac:dyDescent="0.25">
      <c r="A283" s="29" t="s">
        <v>403</v>
      </c>
      <c r="B283" s="20" t="s">
        <v>1239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932</v>
      </c>
      <c r="B284" s="24" t="s">
        <v>1241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1241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1241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1491</v>
      </c>
      <c r="B287" s="20" t="s">
        <v>1242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1242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1242</v>
      </c>
      <c r="C289" s="20" t="s">
        <v>264</v>
      </c>
      <c r="D289" s="20" t="s">
        <v>118</v>
      </c>
      <c r="E289" s="20" t="s">
        <v>275</v>
      </c>
      <c r="F289" s="20"/>
      <c r="G289" s="10">
        <f>'пр.4.1.ведом.22-23'!G591</f>
        <v>297.70000000000005</v>
      </c>
      <c r="H289" s="10">
        <f>'пр.4.1.ведом.22-23'!H591</f>
        <v>297.70000000000005</v>
      </c>
    </row>
    <row r="290" spans="1:8" ht="31.5" x14ac:dyDescent="0.25">
      <c r="A290" s="29" t="s">
        <v>403</v>
      </c>
      <c r="B290" s="20" t="s">
        <v>1242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191" customFormat="1" ht="47.25" x14ac:dyDescent="0.25">
      <c r="A291" s="23" t="s">
        <v>937</v>
      </c>
      <c r="B291" s="24" t="s">
        <v>1252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191" customFormat="1" ht="15.75" x14ac:dyDescent="0.25">
      <c r="A292" s="29" t="s">
        <v>263</v>
      </c>
      <c r="B292" s="20" t="s">
        <v>1252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191" customFormat="1" ht="15.75" x14ac:dyDescent="0.25">
      <c r="A293" s="29" t="s">
        <v>425</v>
      </c>
      <c r="B293" s="20" t="s">
        <v>1252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191" customFormat="1" ht="47.25" x14ac:dyDescent="0.25">
      <c r="A294" s="29" t="s">
        <v>602</v>
      </c>
      <c r="B294" s="20" t="s">
        <v>1253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191" customFormat="1" ht="47.25" x14ac:dyDescent="0.25">
      <c r="A295" s="29" t="s">
        <v>272</v>
      </c>
      <c r="B295" s="20" t="s">
        <v>1253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191" customFormat="1" ht="15.75" x14ac:dyDescent="0.25">
      <c r="A296" s="29" t="s">
        <v>274</v>
      </c>
      <c r="B296" s="20" t="s">
        <v>1253</v>
      </c>
      <c r="C296" s="40" t="s">
        <v>264</v>
      </c>
      <c r="D296" s="40" t="s">
        <v>213</v>
      </c>
      <c r="E296" s="40" t="s">
        <v>275</v>
      </c>
      <c r="F296" s="40"/>
      <c r="G296" s="6">
        <f>'пр.4.1.ведом.22-23'!G657</f>
        <v>3931.8</v>
      </c>
      <c r="H296" s="6">
        <f>'пр.4.1.ведом.22-23'!H657</f>
        <v>3865.2</v>
      </c>
    </row>
    <row r="297" spans="1:8" s="191" customFormat="1" ht="31.5" x14ac:dyDescent="0.25">
      <c r="A297" s="29" t="s">
        <v>403</v>
      </c>
      <c r="B297" s="20" t="s">
        <v>1253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191" customFormat="1" ht="31.5" x14ac:dyDescent="0.25">
      <c r="A298" s="23" t="s">
        <v>938</v>
      </c>
      <c r="B298" s="24" t="s">
        <v>1254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191" customFormat="1" ht="15.75" x14ac:dyDescent="0.25">
      <c r="A299" s="29" t="s">
        <v>263</v>
      </c>
      <c r="B299" s="20" t="s">
        <v>1254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191" customFormat="1" ht="15.75" x14ac:dyDescent="0.25">
      <c r="A300" s="29" t="s">
        <v>425</v>
      </c>
      <c r="B300" s="20" t="s">
        <v>1254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191" customFormat="1" ht="63" x14ac:dyDescent="0.25">
      <c r="A301" s="25" t="s">
        <v>438</v>
      </c>
      <c r="B301" s="20" t="s">
        <v>1255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191" customFormat="1" ht="47.25" x14ac:dyDescent="0.25">
      <c r="A302" s="25" t="s">
        <v>272</v>
      </c>
      <c r="B302" s="20" t="s">
        <v>1255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191" customFormat="1" ht="15.75" x14ac:dyDescent="0.25">
      <c r="A303" s="25" t="s">
        <v>274</v>
      </c>
      <c r="B303" s="20" t="s">
        <v>1255</v>
      </c>
      <c r="C303" s="40" t="s">
        <v>264</v>
      </c>
      <c r="D303" s="40" t="s">
        <v>213</v>
      </c>
      <c r="E303" s="40" t="s">
        <v>275</v>
      </c>
      <c r="F303" s="40"/>
      <c r="G303" s="10">
        <f>'пр.4.1.ведом.22-23'!G661</f>
        <v>1384.6</v>
      </c>
      <c r="H303" s="10">
        <f>'пр.4.1.ведом.22-23'!H661</f>
        <v>1384.6</v>
      </c>
    </row>
    <row r="304" spans="1:8" s="191" customFormat="1" ht="31.5" x14ac:dyDescent="0.25">
      <c r="A304" s="29" t="s">
        <v>403</v>
      </c>
      <c r="B304" s="20" t="s">
        <v>1255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191" customFormat="1" ht="47.25" x14ac:dyDescent="0.25">
      <c r="A305" s="201" t="s">
        <v>939</v>
      </c>
      <c r="B305" s="24" t="s">
        <v>1257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191" customFormat="1" ht="15.75" x14ac:dyDescent="0.25">
      <c r="A306" s="29" t="s">
        <v>263</v>
      </c>
      <c r="B306" s="20" t="s">
        <v>1257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191" customFormat="1" ht="15.75" x14ac:dyDescent="0.25">
      <c r="A307" s="29" t="s">
        <v>425</v>
      </c>
      <c r="B307" s="20" t="s">
        <v>1257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191" customFormat="1" ht="63" x14ac:dyDescent="0.25">
      <c r="A308" s="180" t="s">
        <v>827</v>
      </c>
      <c r="B308" s="20" t="s">
        <v>1422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191" customFormat="1" ht="47.25" x14ac:dyDescent="0.25">
      <c r="A309" s="29" t="s">
        <v>272</v>
      </c>
      <c r="B309" s="20" t="s">
        <v>1422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191" customFormat="1" ht="15.75" x14ac:dyDescent="0.25">
      <c r="A310" s="180" t="s">
        <v>274</v>
      </c>
      <c r="B310" s="20" t="s">
        <v>1422</v>
      </c>
      <c r="C310" s="40" t="s">
        <v>264</v>
      </c>
      <c r="D310" s="40" t="s">
        <v>213</v>
      </c>
      <c r="E310" s="40" t="s">
        <v>275</v>
      </c>
      <c r="F310" s="40"/>
      <c r="G310" s="10">
        <f>'пр.4.1.ведом.22-23'!G665</f>
        <v>755.8</v>
      </c>
      <c r="H310" s="10">
        <f>'пр.4.1.ведом.22-23'!H665</f>
        <v>759</v>
      </c>
    </row>
    <row r="311" spans="1:8" s="191" customFormat="1" ht="31.5" x14ac:dyDescent="0.25">
      <c r="A311" s="29" t="s">
        <v>403</v>
      </c>
      <c r="B311" s="20" t="s">
        <v>1422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191" customFormat="1" ht="126" x14ac:dyDescent="0.25">
      <c r="A312" s="23" t="s">
        <v>1164</v>
      </c>
      <c r="B312" s="24" t="s">
        <v>1244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191" customFormat="1" ht="15.75" x14ac:dyDescent="0.25">
      <c r="A313" s="29" t="s">
        <v>263</v>
      </c>
      <c r="B313" s="20" t="s">
        <v>1244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191" customFormat="1" ht="15.75" x14ac:dyDescent="0.25">
      <c r="A314" s="45" t="s">
        <v>404</v>
      </c>
      <c r="B314" s="20" t="s">
        <v>1244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191" customFormat="1" ht="94.5" hidden="1" x14ac:dyDescent="0.25">
      <c r="A315" s="148" t="s">
        <v>1183</v>
      </c>
      <c r="B315" s="20" t="s">
        <v>1245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191" customFormat="1" ht="47.25" hidden="1" x14ac:dyDescent="0.25">
      <c r="A316" s="25" t="s">
        <v>272</v>
      </c>
      <c r="B316" s="20" t="s">
        <v>1245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191" customFormat="1" ht="15.75" hidden="1" x14ac:dyDescent="0.25">
      <c r="A317" s="25" t="s">
        <v>274</v>
      </c>
      <c r="B317" s="20" t="s">
        <v>1245</v>
      </c>
      <c r="C317" s="40" t="s">
        <v>264</v>
      </c>
      <c r="D317" s="40" t="s">
        <v>118</v>
      </c>
      <c r="E317" s="40" t="s">
        <v>275</v>
      </c>
      <c r="F317" s="40"/>
      <c r="G317" s="10">
        <f>'пр.4.1.ведом.22-23'!G595</f>
        <v>0</v>
      </c>
      <c r="H317" s="10">
        <f>'пр.4.1.ведом.22-23'!H595</f>
        <v>0</v>
      </c>
    </row>
    <row r="318" spans="1:8" s="191" customFormat="1" ht="31.5" hidden="1" x14ac:dyDescent="0.25">
      <c r="A318" s="29" t="s">
        <v>403</v>
      </c>
      <c r="B318" s="20" t="s">
        <v>1245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191" customFormat="1" ht="110.25" x14ac:dyDescent="0.25">
      <c r="A319" s="148" t="s">
        <v>1474</v>
      </c>
      <c r="B319" s="20" t="s">
        <v>1245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191" customFormat="1" ht="47.25" x14ac:dyDescent="0.25">
      <c r="A320" s="25" t="s">
        <v>272</v>
      </c>
      <c r="B320" s="20" t="s">
        <v>1245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191" customFormat="1" ht="15.75" x14ac:dyDescent="0.25">
      <c r="A321" s="25" t="s">
        <v>274</v>
      </c>
      <c r="B321" s="20" t="s">
        <v>1245</v>
      </c>
      <c r="C321" s="40" t="s">
        <v>264</v>
      </c>
      <c r="D321" s="40" t="s">
        <v>118</v>
      </c>
      <c r="E321" s="40" t="s">
        <v>275</v>
      </c>
      <c r="F321" s="40"/>
      <c r="G321" s="10">
        <f>'пр.4.1.ведом.22-23'!G598</f>
        <v>1666.6</v>
      </c>
      <c r="H321" s="10">
        <f>'пр.4.1.ведом.22-23'!H598</f>
        <v>915</v>
      </c>
    </row>
    <row r="322" spans="1:8" s="191" customFormat="1" ht="31.5" x14ac:dyDescent="0.25">
      <c r="A322" s="29" t="s">
        <v>403</v>
      </c>
      <c r="B322" s="20" t="s">
        <v>1245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191" customFormat="1" ht="47.25" x14ac:dyDescent="0.25">
      <c r="A323" s="268" t="s">
        <v>1404</v>
      </c>
      <c r="B323" s="24" t="s">
        <v>1403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191" customFormat="1" ht="15.75" x14ac:dyDescent="0.25">
      <c r="A324" s="180" t="s">
        <v>263</v>
      </c>
      <c r="B324" s="20" t="s">
        <v>1403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191" customFormat="1" ht="15.75" x14ac:dyDescent="0.25">
      <c r="A325" s="180" t="s">
        <v>425</v>
      </c>
      <c r="B325" s="20" t="s">
        <v>1403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191" customFormat="1" ht="78.75" x14ac:dyDescent="0.25">
      <c r="A326" s="267" t="s">
        <v>1390</v>
      </c>
      <c r="B326" s="20" t="s">
        <v>1442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191" customFormat="1" ht="47.25" x14ac:dyDescent="0.25">
      <c r="A327" s="31" t="s">
        <v>272</v>
      </c>
      <c r="B327" s="20" t="s">
        <v>1442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191" customFormat="1" ht="15.75" x14ac:dyDescent="0.25">
      <c r="A328" s="31" t="s">
        <v>274</v>
      </c>
      <c r="B328" s="20" t="s">
        <v>1442</v>
      </c>
      <c r="C328" s="20" t="s">
        <v>264</v>
      </c>
      <c r="D328" s="20" t="s">
        <v>213</v>
      </c>
      <c r="E328" s="20" t="s">
        <v>275</v>
      </c>
      <c r="F328" s="40"/>
      <c r="G328" s="10">
        <f>'пр.4.1.ведом.22-23'!G672</f>
        <v>5415.6500000000005</v>
      </c>
      <c r="H328" s="10">
        <f>'пр.4.1.ведом.22-23'!H672</f>
        <v>5142.4500000000007</v>
      </c>
    </row>
    <row r="329" spans="1:8" s="191" customFormat="1" ht="31.5" x14ac:dyDescent="0.25">
      <c r="A329" s="180" t="s">
        <v>403</v>
      </c>
      <c r="B329" s="20" t="s">
        <v>1442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191" customFormat="1" ht="63" hidden="1" x14ac:dyDescent="0.25">
      <c r="A330" s="201" t="s">
        <v>1170</v>
      </c>
      <c r="B330" s="24" t="s">
        <v>1318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191" customFormat="1" ht="15.75" hidden="1" x14ac:dyDescent="0.25">
      <c r="A331" s="29" t="s">
        <v>263</v>
      </c>
      <c r="B331" s="20" t="s">
        <v>1318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191" customFormat="1" ht="15.75" hidden="1" x14ac:dyDescent="0.25">
      <c r="A332" s="29" t="s">
        <v>425</v>
      </c>
      <c r="B332" s="20" t="s">
        <v>1318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191" customFormat="1" ht="63" hidden="1" x14ac:dyDescent="0.25">
      <c r="A333" s="180" t="s">
        <v>1178</v>
      </c>
      <c r="B333" s="20" t="s">
        <v>1319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191" customFormat="1" ht="47.25" hidden="1" x14ac:dyDescent="0.25">
      <c r="A334" s="31" t="s">
        <v>272</v>
      </c>
      <c r="B334" s="20" t="s">
        <v>1319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191" customFormat="1" ht="15.75" hidden="1" x14ac:dyDescent="0.25">
      <c r="A335" s="31" t="s">
        <v>274</v>
      </c>
      <c r="B335" s="20" t="s">
        <v>1319</v>
      </c>
      <c r="C335" s="40" t="s">
        <v>264</v>
      </c>
      <c r="D335" s="40" t="s">
        <v>213</v>
      </c>
      <c r="E335" s="40" t="s">
        <v>275</v>
      </c>
      <c r="F335" s="40"/>
      <c r="G335" s="10">
        <f>'пр.4.1.ведом.22-23'!G676</f>
        <v>0</v>
      </c>
      <c r="H335" s="10">
        <f>'пр.4.1.ведом.22-23'!H675</f>
        <v>0</v>
      </c>
    </row>
    <row r="336" spans="1:8" s="191" customFormat="1" ht="31.5" hidden="1" x14ac:dyDescent="0.25">
      <c r="A336" s="29" t="s">
        <v>403</v>
      </c>
      <c r="B336" s="20" t="s">
        <v>1319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191" customFormat="1" ht="31.5" x14ac:dyDescent="0.25">
      <c r="A337" s="34" t="s">
        <v>1457</v>
      </c>
      <c r="B337" s="24" t="s">
        <v>1455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191" customFormat="1" ht="15.75" x14ac:dyDescent="0.25">
      <c r="A338" s="29" t="s">
        <v>263</v>
      </c>
      <c r="B338" s="20" t="s">
        <v>1455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191" customFormat="1" ht="15.75" x14ac:dyDescent="0.25">
      <c r="A339" s="29" t="s">
        <v>425</v>
      </c>
      <c r="B339" s="20" t="s">
        <v>1455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191" customFormat="1" ht="63" x14ac:dyDescent="0.25">
      <c r="A340" s="31" t="s">
        <v>1504</v>
      </c>
      <c r="B340" s="20" t="s">
        <v>1456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191" customFormat="1" ht="47.25" x14ac:dyDescent="0.25">
      <c r="A341" s="31" t="s">
        <v>272</v>
      </c>
      <c r="B341" s="20" t="s">
        <v>1456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191" customFormat="1" ht="15.75" x14ac:dyDescent="0.25">
      <c r="A342" s="31" t="s">
        <v>274</v>
      </c>
      <c r="B342" s="20" t="s">
        <v>1456</v>
      </c>
      <c r="C342" s="40" t="s">
        <v>264</v>
      </c>
      <c r="D342" s="40" t="s">
        <v>213</v>
      </c>
      <c r="E342" s="40" t="s">
        <v>275</v>
      </c>
      <c r="F342" s="40"/>
      <c r="G342" s="10">
        <f>'пр.4.1.ведом.22-23'!G680</f>
        <v>1749.4499999999998</v>
      </c>
      <c r="H342" s="10">
        <f>'пр.4.1.ведом.22-23'!H680</f>
        <v>2341</v>
      </c>
    </row>
    <row r="343" spans="1:8" s="191" customFormat="1" ht="31.5" x14ac:dyDescent="0.25">
      <c r="A343" s="29" t="s">
        <v>403</v>
      </c>
      <c r="B343" s="20" t="s">
        <v>1456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1383</v>
      </c>
      <c r="B344" s="187" t="s">
        <v>156</v>
      </c>
      <c r="C344" s="7"/>
      <c r="D344" s="187"/>
      <c r="E344" s="187"/>
      <c r="F344" s="187"/>
      <c r="G344" s="59">
        <f>G346</f>
        <v>150</v>
      </c>
      <c r="H344" s="59">
        <f>H346</f>
        <v>150</v>
      </c>
    </row>
    <row r="345" spans="1:8" ht="47.25" x14ac:dyDescent="0.25">
      <c r="A345" s="23" t="s">
        <v>1065</v>
      </c>
      <c r="B345" s="24" t="s">
        <v>1062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1062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1062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1066</v>
      </c>
      <c r="B348" s="20" t="s">
        <v>1063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1063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1063</v>
      </c>
      <c r="C350" s="40" t="s">
        <v>150</v>
      </c>
      <c r="D350" s="40" t="s">
        <v>238</v>
      </c>
      <c r="E350" s="40" t="s">
        <v>134</v>
      </c>
      <c r="F350" s="40"/>
      <c r="G350" s="10">
        <f>'пр.4.1.ведом.22-23'!G217</f>
        <v>150</v>
      </c>
      <c r="H350" s="10">
        <f>'пр.4.1.ведом.22-23'!H217</f>
        <v>150</v>
      </c>
    </row>
    <row r="351" spans="1:8" ht="31.5" x14ac:dyDescent="0.25">
      <c r="A351" s="29" t="s">
        <v>148</v>
      </c>
      <c r="B351" s="20" t="s">
        <v>1063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1064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1064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1064</v>
      </c>
      <c r="C354" s="40" t="s">
        <v>150</v>
      </c>
      <c r="D354" s="40" t="s">
        <v>238</v>
      </c>
      <c r="E354" s="40" t="s">
        <v>160</v>
      </c>
      <c r="F354" s="40"/>
      <c r="G354" s="10" t="e">
        <f>'пр.4.1.ведом.22-23'!#REF!</f>
        <v>#REF!</v>
      </c>
      <c r="H354" s="10" t="e">
        <f>'пр.4.1.ведом.22-23'!#REF!</f>
        <v>#REF!</v>
      </c>
    </row>
    <row r="355" spans="1:8" ht="31.5" hidden="1" x14ac:dyDescent="0.25">
      <c r="A355" s="29" t="s">
        <v>148</v>
      </c>
      <c r="B355" s="20" t="s">
        <v>1064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1363</v>
      </c>
      <c r="B356" s="187" t="s">
        <v>162</v>
      </c>
      <c r="C356" s="7"/>
      <c r="D356" s="7"/>
      <c r="E356" s="7"/>
      <c r="F356" s="7"/>
      <c r="G356" s="59">
        <f>G357+G364+G387</f>
        <v>685.14</v>
      </c>
      <c r="H356" s="59">
        <f>H357+H364+H387</f>
        <v>724</v>
      </c>
    </row>
    <row r="357" spans="1:8" ht="78.75" x14ac:dyDescent="0.25">
      <c r="A357" s="269" t="s">
        <v>1338</v>
      </c>
      <c r="B357" s="7" t="s">
        <v>848</v>
      </c>
      <c r="C357" s="7"/>
      <c r="D357" s="8"/>
      <c r="E357" s="187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848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848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1306</v>
      </c>
      <c r="B360" s="40" t="s">
        <v>840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840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840</v>
      </c>
      <c r="C362" s="40" t="s">
        <v>118</v>
      </c>
      <c r="D362" s="9" t="s">
        <v>150</v>
      </c>
      <c r="E362" s="40" t="s">
        <v>134</v>
      </c>
      <c r="F362" s="40"/>
      <c r="G362" s="10">
        <f>'пр.4.1.ведом.22-23'!G93</f>
        <v>606</v>
      </c>
      <c r="H362" s="10">
        <f>'пр.4.1.ведом.22-23'!H93</f>
        <v>606</v>
      </c>
    </row>
    <row r="363" spans="1:8" ht="31.5" x14ac:dyDescent="0.25">
      <c r="A363" s="29" t="s">
        <v>148</v>
      </c>
      <c r="B363" s="40" t="s">
        <v>840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04" t="s">
        <v>842</v>
      </c>
      <c r="B364" s="7" t="s">
        <v>849</v>
      </c>
      <c r="C364" s="7"/>
      <c r="D364" s="8"/>
      <c r="E364" s="187"/>
      <c r="F364" s="7"/>
      <c r="G364" s="59">
        <f>G365</f>
        <v>78.64</v>
      </c>
      <c r="H364" s="59">
        <f>H365</f>
        <v>117.5</v>
      </c>
    </row>
    <row r="365" spans="1:8" ht="15.75" x14ac:dyDescent="0.25">
      <c r="A365" s="45" t="s">
        <v>117</v>
      </c>
      <c r="B365" s="5" t="s">
        <v>849</v>
      </c>
      <c r="C365" s="40" t="s">
        <v>118</v>
      </c>
      <c r="D365" s="5"/>
      <c r="E365" s="5"/>
      <c r="F365" s="40"/>
      <c r="G365" s="10">
        <f>G371+G366</f>
        <v>78.64</v>
      </c>
      <c r="H365" s="10">
        <f>H371+H366</f>
        <v>117.5</v>
      </c>
    </row>
    <row r="366" spans="1:8" s="191" customFormat="1" ht="47.25" x14ac:dyDescent="0.25">
      <c r="A366" s="25" t="s">
        <v>575</v>
      </c>
      <c r="B366" s="5" t="s">
        <v>849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1.6400000000000006</v>
      </c>
      <c r="H366" s="10">
        <f t="shared" si="51"/>
        <v>40.5</v>
      </c>
    </row>
    <row r="367" spans="1:8" s="191" customFormat="1" ht="63" x14ac:dyDescent="0.25">
      <c r="A367" s="31" t="s">
        <v>695</v>
      </c>
      <c r="B367" s="40" t="s">
        <v>992</v>
      </c>
      <c r="C367" s="20" t="s">
        <v>118</v>
      </c>
      <c r="D367" s="9" t="s">
        <v>213</v>
      </c>
      <c r="E367" s="5"/>
      <c r="F367" s="40"/>
      <c r="G367" s="10">
        <f t="shared" si="51"/>
        <v>1.6400000000000006</v>
      </c>
      <c r="H367" s="10">
        <f t="shared" si="51"/>
        <v>40.5</v>
      </c>
    </row>
    <row r="368" spans="1:8" s="191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1.6400000000000006</v>
      </c>
      <c r="H368" s="10">
        <f t="shared" si="51"/>
        <v>40.5</v>
      </c>
    </row>
    <row r="369" spans="1:8" s="191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'Пр.4 ведом.21'!G53</f>
        <v>1.6400000000000006</v>
      </c>
      <c r="H369" s="10">
        <f>H370</f>
        <v>40.5</v>
      </c>
    </row>
    <row r="370" spans="1:8" s="191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1.6400000000000006</v>
      </c>
      <c r="H370" s="10">
        <f>'пр.4.1.ведом.22-23'!H48</f>
        <v>40.5</v>
      </c>
    </row>
    <row r="371" spans="1:8" ht="78.75" x14ac:dyDescent="0.25">
      <c r="A371" s="29" t="s">
        <v>149</v>
      </c>
      <c r="B371" s="5" t="s">
        <v>849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2" t="s">
        <v>165</v>
      </c>
      <c r="B372" s="40" t="s">
        <v>841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841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841</v>
      </c>
      <c r="C374" s="40" t="s">
        <v>118</v>
      </c>
      <c r="D374" s="9" t="s">
        <v>150</v>
      </c>
      <c r="E374" s="40" t="s">
        <v>130</v>
      </c>
      <c r="F374" s="40"/>
      <c r="G374" s="10">
        <f>'пр.4.1.ведом.22-23'!G97</f>
        <v>37</v>
      </c>
      <c r="H374" s="10">
        <f>'пр.4.1.ведом.22-23'!H97</f>
        <v>37</v>
      </c>
    </row>
    <row r="375" spans="1:8" ht="31.5" x14ac:dyDescent="0.25">
      <c r="A375" s="29" t="s">
        <v>1320</v>
      </c>
      <c r="B375" s="40" t="s">
        <v>841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841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841</v>
      </c>
      <c r="C377" s="40" t="s">
        <v>118</v>
      </c>
      <c r="D377" s="9" t="s">
        <v>150</v>
      </c>
      <c r="E377" s="40" t="s">
        <v>134</v>
      </c>
      <c r="F377" s="40"/>
      <c r="G377" s="10">
        <f>'пр.4.1.ведом.22-23'!G99</f>
        <v>40</v>
      </c>
      <c r="H377" s="10">
        <f>'пр.4.1.ведом.22-23'!H99</f>
        <v>40</v>
      </c>
    </row>
    <row r="378" spans="1:8" ht="31.5" x14ac:dyDescent="0.25">
      <c r="A378" s="29" t="s">
        <v>148</v>
      </c>
      <c r="B378" s="40" t="s">
        <v>841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992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992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992</v>
      </c>
      <c r="C381" s="40" t="s">
        <v>118</v>
      </c>
      <c r="D381" s="9" t="s">
        <v>150</v>
      </c>
      <c r="E381" s="5">
        <v>240</v>
      </c>
      <c r="F381" s="40"/>
      <c r="G381" s="10">
        <f>'Пр.4 ведом.21'!G108</f>
        <v>0</v>
      </c>
      <c r="H381" s="10">
        <f>'пр.4.1.ведом.22-23'!H102</f>
        <v>0</v>
      </c>
    </row>
    <row r="382" spans="1:8" ht="31.5" hidden="1" x14ac:dyDescent="0.25">
      <c r="A382" s="29" t="s">
        <v>148</v>
      </c>
      <c r="B382" s="40" t="s">
        <v>992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991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991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991</v>
      </c>
      <c r="C385" s="40" t="s">
        <v>118</v>
      </c>
      <c r="D385" s="9" t="s">
        <v>150</v>
      </c>
      <c r="E385" s="5">
        <v>240</v>
      </c>
      <c r="F385" s="40"/>
      <c r="G385" s="10">
        <f>'пр.4.1.ведом.22-23'!G105</f>
        <v>0</v>
      </c>
      <c r="H385" s="10">
        <f>'пр.4.1.ведом.22-23'!H105</f>
        <v>0</v>
      </c>
    </row>
    <row r="386" spans="1:8" ht="31.5" hidden="1" x14ac:dyDescent="0.25">
      <c r="A386" s="29" t="s">
        <v>148</v>
      </c>
      <c r="B386" s="20" t="s">
        <v>991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05" t="s">
        <v>1002</v>
      </c>
      <c r="B387" s="7" t="s">
        <v>850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191" customFormat="1" ht="15.75" x14ac:dyDescent="0.25">
      <c r="A388" s="45" t="s">
        <v>117</v>
      </c>
      <c r="B388" s="40" t="s">
        <v>850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191" customFormat="1" ht="78.75" x14ac:dyDescent="0.25">
      <c r="A389" s="29" t="s">
        <v>149</v>
      </c>
      <c r="B389" s="40" t="s">
        <v>850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843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843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843</v>
      </c>
      <c r="C392" s="40" t="s">
        <v>118</v>
      </c>
      <c r="D392" s="9" t="s">
        <v>150</v>
      </c>
      <c r="E392" s="40" t="s">
        <v>134</v>
      </c>
      <c r="F392" s="40"/>
      <c r="G392" s="10">
        <f>'пр.4.1.ведом.22-23'!G109</f>
        <v>0.5</v>
      </c>
      <c r="H392" s="10">
        <f>'пр.4.1.ведом.22-23'!H109</f>
        <v>0.5</v>
      </c>
    </row>
    <row r="393" spans="1:8" ht="31.5" x14ac:dyDescent="0.25">
      <c r="A393" s="29" t="s">
        <v>148</v>
      </c>
      <c r="B393" s="40" t="s">
        <v>843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844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844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844</v>
      </c>
      <c r="C396" s="40" t="s">
        <v>118</v>
      </c>
      <c r="D396" s="9" t="s">
        <v>150</v>
      </c>
      <c r="E396" s="40" t="s">
        <v>134</v>
      </c>
      <c r="F396" s="40"/>
      <c r="G396" s="10">
        <f>'пр.4.1.ведом.22-23'!G112</f>
        <v>0</v>
      </c>
      <c r="H396" s="10">
        <f>'пр.4.1.ведом.22-23'!H112</f>
        <v>0</v>
      </c>
    </row>
    <row r="397" spans="1:8" ht="31.5" hidden="1" x14ac:dyDescent="0.25">
      <c r="A397" s="29" t="s">
        <v>148</v>
      </c>
      <c r="B397" s="20" t="s">
        <v>844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1345</v>
      </c>
      <c r="B398" s="187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883</v>
      </c>
      <c r="B399" s="24" t="s">
        <v>881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881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881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882</v>
      </c>
      <c r="B402" s="20" t="s">
        <v>1186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1186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1186</v>
      </c>
      <c r="C404" s="40" t="s">
        <v>244</v>
      </c>
      <c r="D404" s="40" t="s">
        <v>215</v>
      </c>
      <c r="E404" s="40" t="s">
        <v>251</v>
      </c>
      <c r="F404" s="40"/>
      <c r="G404" s="10">
        <f>'пр.4.1.ведом.22-23'!G230</f>
        <v>10</v>
      </c>
      <c r="H404" s="10">
        <f>'пр.4.1.ведом.22-23'!H230</f>
        <v>10</v>
      </c>
    </row>
    <row r="405" spans="1:8" ht="31.5" x14ac:dyDescent="0.25">
      <c r="A405" s="29" t="s">
        <v>148</v>
      </c>
      <c r="B405" s="20" t="s">
        <v>1186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1368</v>
      </c>
      <c r="B406" s="3" t="s">
        <v>482</v>
      </c>
      <c r="C406" s="68"/>
      <c r="D406" s="68"/>
      <c r="E406" s="68"/>
      <c r="F406" s="68"/>
      <c r="G406" s="4">
        <f>G407+G414+G429+G440+G447</f>
        <v>52873.1</v>
      </c>
      <c r="H406" s="4">
        <f>H407+H414+H429+H440+H447</f>
        <v>52873.1</v>
      </c>
    </row>
    <row r="407" spans="1:8" ht="47.25" x14ac:dyDescent="0.25">
      <c r="A407" s="23" t="s">
        <v>936</v>
      </c>
      <c r="B407" s="24" t="s">
        <v>1261</v>
      </c>
      <c r="C407" s="7"/>
      <c r="D407" s="7"/>
      <c r="E407" s="207"/>
      <c r="F407" s="187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1261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1261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1291</v>
      </c>
      <c r="B410" s="20" t="s">
        <v>1262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1262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1262</v>
      </c>
      <c r="C412" s="40" t="s">
        <v>491</v>
      </c>
      <c r="D412" s="40" t="s">
        <v>118</v>
      </c>
      <c r="E412" s="40" t="s">
        <v>275</v>
      </c>
      <c r="F412" s="5"/>
      <c r="G412" s="10">
        <f>'пр.4.1.ведом.22-23'!G770</f>
        <v>47819.6</v>
      </c>
      <c r="H412" s="10">
        <f>'пр.4.1.ведом.22-23'!H770</f>
        <v>47819.6</v>
      </c>
    </row>
    <row r="413" spans="1:8" ht="47.25" x14ac:dyDescent="0.25">
      <c r="A413" s="45" t="s">
        <v>480</v>
      </c>
      <c r="B413" s="20" t="s">
        <v>1262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944</v>
      </c>
      <c r="B414" s="24" t="s">
        <v>1263</v>
      </c>
      <c r="C414" s="7"/>
      <c r="D414" s="7"/>
      <c r="E414" s="7"/>
      <c r="F414" s="187"/>
      <c r="G414" s="59">
        <f>G415</f>
        <v>36</v>
      </c>
      <c r="H414" s="59">
        <f>H415</f>
        <v>36</v>
      </c>
    </row>
    <row r="415" spans="1:8" ht="15.75" x14ac:dyDescent="0.25">
      <c r="A415" s="29" t="s">
        <v>490</v>
      </c>
      <c r="B415" s="20" t="s">
        <v>1263</v>
      </c>
      <c r="C415" s="2">
        <v>11</v>
      </c>
      <c r="D415" s="68"/>
      <c r="E415" s="68"/>
      <c r="F415" s="68"/>
      <c r="G415" s="10">
        <f t="shared" ref="G415:H415" si="57">G416</f>
        <v>36</v>
      </c>
      <c r="H415" s="10">
        <f t="shared" si="57"/>
        <v>36</v>
      </c>
    </row>
    <row r="416" spans="1:8" ht="16.5" x14ac:dyDescent="0.25">
      <c r="A416" s="29" t="s">
        <v>492</v>
      </c>
      <c r="B416" s="20" t="s">
        <v>1263</v>
      </c>
      <c r="C416" s="40" t="s">
        <v>491</v>
      </c>
      <c r="D416" s="40" t="s">
        <v>118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278</v>
      </c>
      <c r="B417" s="20" t="s">
        <v>1321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0</v>
      </c>
      <c r="H417" s="10">
        <f t="shared" si="58"/>
        <v>0</v>
      </c>
    </row>
    <row r="418" spans="1:8" ht="47.25" hidden="1" x14ac:dyDescent="0.25">
      <c r="A418" s="29" t="s">
        <v>272</v>
      </c>
      <c r="B418" s="20" t="s">
        <v>1321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0</v>
      </c>
      <c r="H418" s="10">
        <f t="shared" si="58"/>
        <v>0</v>
      </c>
    </row>
    <row r="419" spans="1:8" ht="15.75" hidden="1" x14ac:dyDescent="0.25">
      <c r="A419" s="29" t="s">
        <v>274</v>
      </c>
      <c r="B419" s="20" t="s">
        <v>1321</v>
      </c>
      <c r="C419" s="40" t="s">
        <v>491</v>
      </c>
      <c r="D419" s="40" t="s">
        <v>118</v>
      </c>
      <c r="E419" s="40" t="s">
        <v>275</v>
      </c>
      <c r="F419" s="5"/>
      <c r="G419" s="10">
        <f>'пр.4.1.ведом.22-23'!G774</f>
        <v>0</v>
      </c>
      <c r="H419" s="10">
        <f>'пр.4.1.ведом.22-23'!H774</f>
        <v>0</v>
      </c>
    </row>
    <row r="420" spans="1:8" ht="47.25" hidden="1" x14ac:dyDescent="0.25">
      <c r="A420" s="45" t="s">
        <v>480</v>
      </c>
      <c r="B420" s="20" t="s">
        <v>1321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280</v>
      </c>
      <c r="B421" s="20" t="s">
        <v>1322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1322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1322</v>
      </c>
      <c r="C423" s="40" t="s">
        <v>491</v>
      </c>
      <c r="D423" s="40" t="s">
        <v>118</v>
      </c>
      <c r="E423" s="40" t="s">
        <v>275</v>
      </c>
      <c r="F423" s="5"/>
      <c r="G423" s="10">
        <f>'пр.4.1.ведом.22-23'!G777</f>
        <v>0</v>
      </c>
      <c r="H423" s="10">
        <f>'пр.4.1.ведом.22-23'!H777</f>
        <v>0</v>
      </c>
    </row>
    <row r="424" spans="1:8" ht="47.25" hidden="1" x14ac:dyDescent="0.25">
      <c r="A424" s="45" t="s">
        <v>480</v>
      </c>
      <c r="B424" s="20" t="s">
        <v>1322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829</v>
      </c>
      <c r="B425" s="20" t="s">
        <v>1264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1264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1264</v>
      </c>
      <c r="C427" s="40" t="s">
        <v>491</v>
      </c>
      <c r="D427" s="40" t="s">
        <v>118</v>
      </c>
      <c r="E427" s="40" t="s">
        <v>275</v>
      </c>
      <c r="F427" s="5"/>
      <c r="G427" s="10">
        <f>'пр.4.1.ведом.22-23'!G781</f>
        <v>36</v>
      </c>
      <c r="H427" s="10">
        <f>'пр.4.1.ведом.22-23'!H781</f>
        <v>36</v>
      </c>
    </row>
    <row r="428" spans="1:8" ht="47.25" x14ac:dyDescent="0.25">
      <c r="A428" s="45" t="s">
        <v>480</v>
      </c>
      <c r="B428" s="20" t="s">
        <v>1264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946</v>
      </c>
      <c r="B429" s="24" t="s">
        <v>1265</v>
      </c>
      <c r="C429" s="7"/>
      <c r="D429" s="7"/>
      <c r="E429" s="7"/>
      <c r="F429" s="187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20" t="s">
        <v>1265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492</v>
      </c>
      <c r="B431" s="20" t="s">
        <v>1265</v>
      </c>
      <c r="C431" s="40" t="s">
        <v>491</v>
      </c>
      <c r="D431" s="40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20" t="s">
        <v>1303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272</v>
      </c>
      <c r="B433" s="20" t="s">
        <v>1303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274</v>
      </c>
      <c r="B434" s="20" t="s">
        <v>1303</v>
      </c>
      <c r="C434" s="40" t="s">
        <v>491</v>
      </c>
      <c r="D434" s="40" t="s">
        <v>118</v>
      </c>
      <c r="E434" s="40" t="s">
        <v>275</v>
      </c>
      <c r="F434" s="5"/>
      <c r="G434" s="10">
        <f>'пр.4.1.ведом.22-23'!G785</f>
        <v>0</v>
      </c>
      <c r="H434" s="10">
        <f>'пр.4.1.ведом.22-23'!H785</f>
        <v>0</v>
      </c>
    </row>
    <row r="435" spans="1:8" ht="47.25" hidden="1" x14ac:dyDescent="0.25">
      <c r="A435" s="45" t="s">
        <v>480</v>
      </c>
      <c r="B435" s="20" t="s">
        <v>1303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20" t="s">
        <v>1266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1266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1266</v>
      </c>
      <c r="C438" s="40" t="s">
        <v>491</v>
      </c>
      <c r="D438" s="40" t="s">
        <v>118</v>
      </c>
      <c r="E438" s="40" t="s">
        <v>275</v>
      </c>
      <c r="F438" s="5"/>
      <c r="G438" s="10">
        <f>'пр.4.1.ведом.22-23'!G788</f>
        <v>1204</v>
      </c>
      <c r="H438" s="10">
        <f>'пр.4.1.ведом.22-23'!H788</f>
        <v>1204</v>
      </c>
    </row>
    <row r="439" spans="1:8" ht="47.25" x14ac:dyDescent="0.25">
      <c r="A439" s="45" t="s">
        <v>480</v>
      </c>
      <c r="B439" s="20" t="s">
        <v>1266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899</v>
      </c>
      <c r="B440" s="24" t="s">
        <v>1267</v>
      </c>
      <c r="C440" s="7"/>
      <c r="D440" s="7"/>
      <c r="E440" s="7"/>
      <c r="F440" s="187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1267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1267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1401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1401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1401</v>
      </c>
      <c r="C445" s="40" t="s">
        <v>491</v>
      </c>
      <c r="D445" s="40" t="s">
        <v>118</v>
      </c>
      <c r="E445" s="40" t="s">
        <v>275</v>
      </c>
      <c r="F445" s="5"/>
      <c r="G445" s="10">
        <f>'пр.4.1.ведом.22-23'!G792</f>
        <v>813.5</v>
      </c>
      <c r="H445" s="10">
        <f>'пр.4.1.ведом.22-23'!H792</f>
        <v>813.5</v>
      </c>
    </row>
    <row r="446" spans="1:8" ht="47.25" x14ac:dyDescent="0.25">
      <c r="A446" s="45" t="s">
        <v>480</v>
      </c>
      <c r="B446" s="20" t="s">
        <v>1401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950</v>
      </c>
      <c r="B447" s="7" t="s">
        <v>1269</v>
      </c>
      <c r="C447" s="7"/>
      <c r="D447" s="7"/>
      <c r="E447" s="7"/>
      <c r="F447" s="187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1269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1269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951</v>
      </c>
      <c r="B450" s="40" t="s">
        <v>1270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1270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1270</v>
      </c>
      <c r="C452" s="40" t="s">
        <v>491</v>
      </c>
      <c r="D452" s="40" t="s">
        <v>234</v>
      </c>
      <c r="E452" s="40" t="s">
        <v>209</v>
      </c>
      <c r="F452" s="5"/>
      <c r="G452" s="6">
        <f>'пр.4.1.ведом.22-23'!G828</f>
        <v>2500</v>
      </c>
      <c r="H452" s="6">
        <f>'пр.4.1.ведом.22-23'!H828</f>
        <v>2500</v>
      </c>
    </row>
    <row r="453" spans="1:12" ht="47.25" x14ac:dyDescent="0.25">
      <c r="A453" s="45" t="s">
        <v>480</v>
      </c>
      <c r="B453" s="40" t="s">
        <v>1270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1270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1270</v>
      </c>
      <c r="C455" s="40" t="s">
        <v>491</v>
      </c>
      <c r="D455" s="40" t="s">
        <v>234</v>
      </c>
      <c r="E455" s="40" t="s">
        <v>134</v>
      </c>
      <c r="F455" s="5"/>
      <c r="G455" s="6">
        <f>'пр.4.1.ведом.22-23'!G830</f>
        <v>500</v>
      </c>
      <c r="H455" s="6">
        <f>'пр.4.1.ведом.22-23'!H830</f>
        <v>500</v>
      </c>
    </row>
    <row r="456" spans="1:12" ht="47.25" x14ac:dyDescent="0.25">
      <c r="A456" s="45" t="s">
        <v>480</v>
      </c>
      <c r="B456" s="40" t="s">
        <v>1270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191" customFormat="1" ht="78.75" hidden="1" x14ac:dyDescent="0.25">
      <c r="A457" s="23" t="s">
        <v>1329</v>
      </c>
      <c r="B457" s="24" t="s">
        <v>1268</v>
      </c>
      <c r="C457" s="7"/>
      <c r="D457" s="7"/>
      <c r="E457" s="7"/>
      <c r="F457" s="187"/>
      <c r="G457" s="59">
        <f>G458</f>
        <v>769.23</v>
      </c>
      <c r="H457" s="10"/>
    </row>
    <row r="458" spans="1:12" s="191" customFormat="1" ht="15.75" hidden="1" x14ac:dyDescent="0.25">
      <c r="A458" s="29" t="s">
        <v>490</v>
      </c>
      <c r="B458" s="20" t="s">
        <v>1268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191" customFormat="1" ht="15.75" hidden="1" x14ac:dyDescent="0.25">
      <c r="A459" s="29" t="s">
        <v>492</v>
      </c>
      <c r="B459" s="20" t="s">
        <v>1268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191" customFormat="1" ht="63" hidden="1" x14ac:dyDescent="0.25">
      <c r="A460" s="25" t="s">
        <v>1191</v>
      </c>
      <c r="B460" s="20" t="s">
        <v>1323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191" customFormat="1" ht="47.25" hidden="1" x14ac:dyDescent="0.25">
      <c r="A461" s="25" t="s">
        <v>272</v>
      </c>
      <c r="B461" s="20" t="s">
        <v>1323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191" customFormat="1" ht="15.75" hidden="1" x14ac:dyDescent="0.25">
      <c r="A462" s="25" t="s">
        <v>274</v>
      </c>
      <c r="B462" s="20" t="s">
        <v>1323</v>
      </c>
      <c r="C462" s="40" t="s">
        <v>491</v>
      </c>
      <c r="D462" s="40" t="s">
        <v>118</v>
      </c>
      <c r="E462" s="40" t="s">
        <v>275</v>
      </c>
      <c r="F462" s="5"/>
      <c r="G462" s="10">
        <f>'Пр.4 ведом.21'!G918</f>
        <v>769.23</v>
      </c>
      <c r="H462" s="10"/>
    </row>
    <row r="463" spans="1:12" s="191" customFormat="1" ht="47.25" hidden="1" x14ac:dyDescent="0.25">
      <c r="A463" s="45" t="s">
        <v>480</v>
      </c>
      <c r="B463" s="20" t="s">
        <v>1323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1350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83991.089999999982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-1306.1899999999878</v>
      </c>
    </row>
    <row r="465" spans="1:8" ht="47.25" x14ac:dyDescent="0.25">
      <c r="A465" s="23" t="s">
        <v>1297</v>
      </c>
      <c r="B465" s="24" t="s">
        <v>1201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191" customFormat="1" ht="15.75" x14ac:dyDescent="0.25">
      <c r="A466" s="25" t="s">
        <v>263</v>
      </c>
      <c r="B466" s="20" t="s">
        <v>1201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191" customFormat="1" ht="15.75" x14ac:dyDescent="0.25">
      <c r="A467" s="25" t="s">
        <v>265</v>
      </c>
      <c r="B467" s="20" t="s">
        <v>1201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191" customFormat="1" ht="31.5" x14ac:dyDescent="0.25">
      <c r="A468" s="25" t="s">
        <v>800</v>
      </c>
      <c r="B468" s="20" t="s">
        <v>1202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191" customFormat="1" ht="94.5" x14ac:dyDescent="0.25">
      <c r="A469" s="25" t="s">
        <v>127</v>
      </c>
      <c r="B469" s="20" t="s">
        <v>1202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191" customFormat="1" ht="31.5" x14ac:dyDescent="0.25">
      <c r="A470" s="46" t="s">
        <v>342</v>
      </c>
      <c r="B470" s="20" t="s">
        <v>1202</v>
      </c>
      <c r="C470" s="40" t="s">
        <v>264</v>
      </c>
      <c r="D470" s="40" t="s">
        <v>215</v>
      </c>
      <c r="E470" s="20" t="s">
        <v>209</v>
      </c>
      <c r="F470" s="2"/>
      <c r="G470" s="10">
        <f>'пр.4.1.ведом.22-23'!G299</f>
        <v>14172.31</v>
      </c>
      <c r="H470" s="10">
        <f>'пр.4.1.ведом.22-23'!H299</f>
        <v>14172.31</v>
      </c>
    </row>
    <row r="471" spans="1:8" s="191" customFormat="1" ht="47.25" x14ac:dyDescent="0.25">
      <c r="A471" s="45" t="s">
        <v>261</v>
      </c>
      <c r="B471" s="20" t="s">
        <v>1202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191" customFormat="1" ht="31.5" x14ac:dyDescent="0.25">
      <c r="A472" s="25" t="s">
        <v>131</v>
      </c>
      <c r="B472" s="20" t="s">
        <v>1202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191" customFormat="1" ht="47.25" x14ac:dyDescent="0.25">
      <c r="A473" s="25" t="s">
        <v>133</v>
      </c>
      <c r="B473" s="20" t="s">
        <v>1202</v>
      </c>
      <c r="C473" s="40" t="s">
        <v>264</v>
      </c>
      <c r="D473" s="40" t="s">
        <v>215</v>
      </c>
      <c r="E473" s="20" t="s">
        <v>134</v>
      </c>
      <c r="F473" s="2"/>
      <c r="G473" s="10">
        <f>'пр.4.1.ведом.22-23'!G301</f>
        <v>1603.7</v>
      </c>
      <c r="H473" s="10">
        <f>'пр.4.1.ведом.22-23'!H301</f>
        <v>1603.7</v>
      </c>
    </row>
    <row r="474" spans="1:8" s="191" customFormat="1" ht="47.25" x14ac:dyDescent="0.25">
      <c r="A474" s="45" t="s">
        <v>261</v>
      </c>
      <c r="B474" s="20" t="s">
        <v>1202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191" customFormat="1" ht="15.75" x14ac:dyDescent="0.25">
      <c r="A475" s="25" t="s">
        <v>135</v>
      </c>
      <c r="B475" s="20" t="s">
        <v>1202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191" customFormat="1" ht="15.75" x14ac:dyDescent="0.25">
      <c r="A476" s="25" t="s">
        <v>704</v>
      </c>
      <c r="B476" s="20" t="s">
        <v>1202</v>
      </c>
      <c r="C476" s="40" t="s">
        <v>264</v>
      </c>
      <c r="D476" s="40" t="s">
        <v>215</v>
      </c>
      <c r="E476" s="20" t="s">
        <v>138</v>
      </c>
      <c r="F476" s="2"/>
      <c r="G476" s="10">
        <f>'пр.4.1.ведом.22-23'!G303</f>
        <v>78</v>
      </c>
      <c r="H476" s="10">
        <f>'пр.4.1.ведом.22-23'!H303</f>
        <v>78</v>
      </c>
    </row>
    <row r="477" spans="1:8" s="191" customFormat="1" ht="47.25" x14ac:dyDescent="0.25">
      <c r="A477" s="45" t="s">
        <v>261</v>
      </c>
      <c r="B477" s="20" t="s">
        <v>1202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1201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1201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1202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1202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1202</v>
      </c>
      <c r="C482" s="40" t="s">
        <v>299</v>
      </c>
      <c r="D482" s="40" t="s">
        <v>118</v>
      </c>
      <c r="E482" s="40" t="s">
        <v>209</v>
      </c>
      <c r="F482" s="2"/>
      <c r="G482" s="10">
        <f>'пр.4.1.ведом.22-23'!G363</f>
        <v>43271.28</v>
      </c>
      <c r="H482" s="10">
        <f>'пр.4.1.ведом.22-23'!H363</f>
        <v>43271.28</v>
      </c>
    </row>
    <row r="483" spans="1:8" ht="47.25" x14ac:dyDescent="0.25">
      <c r="A483" s="45" t="s">
        <v>261</v>
      </c>
      <c r="B483" s="20" t="s">
        <v>1202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1202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1202</v>
      </c>
      <c r="C485" s="40" t="s">
        <v>299</v>
      </c>
      <c r="D485" s="40" t="s">
        <v>118</v>
      </c>
      <c r="E485" s="40" t="s">
        <v>134</v>
      </c>
      <c r="F485" s="2"/>
      <c r="G485" s="10">
        <f>'пр.4.1.ведом.22-23'!G365</f>
        <v>8506.2000000000007</v>
      </c>
      <c r="H485" s="10">
        <f>'пр.4.1.ведом.22-23'!H365</f>
        <v>8506.2000000000007</v>
      </c>
    </row>
    <row r="486" spans="1:8" ht="47.25" x14ac:dyDescent="0.25">
      <c r="A486" s="45" t="s">
        <v>261</v>
      </c>
      <c r="B486" s="20" t="s">
        <v>1202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1202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1202</v>
      </c>
      <c r="C488" s="40" t="s">
        <v>299</v>
      </c>
      <c r="D488" s="40" t="s">
        <v>118</v>
      </c>
      <c r="E488" s="40" t="s">
        <v>138</v>
      </c>
      <c r="F488" s="2"/>
      <c r="G488" s="10">
        <f>'пр.4.1.ведом.22-23'!G367</f>
        <v>63</v>
      </c>
      <c r="H488" s="10">
        <f>'пр.4.1.ведом.22-23'!H367</f>
        <v>63</v>
      </c>
    </row>
    <row r="489" spans="1:8" ht="47.25" x14ac:dyDescent="0.25">
      <c r="A489" s="45" t="s">
        <v>261</v>
      </c>
      <c r="B489" s="20" t="s">
        <v>1202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191" customFormat="1" ht="15.75" x14ac:dyDescent="0.25">
      <c r="A490" s="25" t="s">
        <v>582</v>
      </c>
      <c r="B490" s="20" t="s">
        <v>1201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191" customFormat="1" ht="15.75" x14ac:dyDescent="0.25">
      <c r="A491" s="25" t="s">
        <v>583</v>
      </c>
      <c r="B491" s="20" t="s">
        <v>1201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191" customFormat="1" ht="31.5" x14ac:dyDescent="0.25">
      <c r="A492" s="25" t="s">
        <v>800</v>
      </c>
      <c r="B492" s="20" t="s">
        <v>1202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191" customFormat="1" ht="94.5" x14ac:dyDescent="0.25">
      <c r="A493" s="25" t="s">
        <v>127</v>
      </c>
      <c r="B493" s="20" t="s">
        <v>1202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191" customFormat="1" ht="31.5" x14ac:dyDescent="0.25">
      <c r="A494" s="25" t="s">
        <v>208</v>
      </c>
      <c r="B494" s="20" t="s">
        <v>1202</v>
      </c>
      <c r="C494" s="40" t="s">
        <v>238</v>
      </c>
      <c r="D494" s="40" t="s">
        <v>213</v>
      </c>
      <c r="E494" s="40" t="s">
        <v>209</v>
      </c>
      <c r="F494" s="2"/>
      <c r="G494" s="10">
        <f>'пр.4.1.ведом.22-23'!G474</f>
        <v>4897.2</v>
      </c>
      <c r="H494" s="10">
        <f>'пр.4.1.ведом.22-23'!H474</f>
        <v>4897.2</v>
      </c>
    </row>
    <row r="495" spans="1:8" s="191" customFormat="1" ht="47.25" x14ac:dyDescent="0.25">
      <c r="A495" s="45" t="s">
        <v>261</v>
      </c>
      <c r="B495" s="20" t="s">
        <v>1202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191" customFormat="1" ht="31.5" x14ac:dyDescent="0.25">
      <c r="A496" s="25" t="s">
        <v>131</v>
      </c>
      <c r="B496" s="20" t="s">
        <v>1202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191" customFormat="1" ht="47.25" x14ac:dyDescent="0.25">
      <c r="A497" s="25" t="s">
        <v>133</v>
      </c>
      <c r="B497" s="20" t="s">
        <v>1202</v>
      </c>
      <c r="C497" s="40" t="s">
        <v>238</v>
      </c>
      <c r="D497" s="40" t="s">
        <v>213</v>
      </c>
      <c r="E497" s="40" t="s">
        <v>134</v>
      </c>
      <c r="F497" s="2"/>
      <c r="G497" s="10">
        <f>'пр.4.1.ведом.22-23'!G476</f>
        <v>595.1</v>
      </c>
      <c r="H497" s="10">
        <f>'пр.4.1.ведом.22-23'!H476</f>
        <v>595.1</v>
      </c>
    </row>
    <row r="498" spans="1:8" s="191" customFormat="1" ht="47.25" x14ac:dyDescent="0.25">
      <c r="A498" s="45" t="s">
        <v>261</v>
      </c>
      <c r="B498" s="20" t="s">
        <v>1202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191" customFormat="1" ht="15.75" x14ac:dyDescent="0.25">
      <c r="A499" s="25" t="s">
        <v>135</v>
      </c>
      <c r="B499" s="20" t="s">
        <v>1202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191" customFormat="1" ht="15.75" x14ac:dyDescent="0.25">
      <c r="A500" s="25" t="s">
        <v>137</v>
      </c>
      <c r="B500" s="20" t="s">
        <v>1202</v>
      </c>
      <c r="C500" s="40" t="s">
        <v>238</v>
      </c>
      <c r="D500" s="40" t="s">
        <v>213</v>
      </c>
      <c r="E500" s="40" t="s">
        <v>138</v>
      </c>
      <c r="F500" s="2"/>
      <c r="G500" s="10">
        <f>'пр.4.1.ведом.22-23'!G478</f>
        <v>30</v>
      </c>
      <c r="H500" s="10">
        <f>'пр.4.1.ведом.22-23'!H478</f>
        <v>30</v>
      </c>
    </row>
    <row r="501" spans="1:8" s="191" customFormat="1" ht="47.25" x14ac:dyDescent="0.25">
      <c r="A501" s="45" t="s">
        <v>261</v>
      </c>
      <c r="B501" s="20" t="s">
        <v>1202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01" t="s">
        <v>1324</v>
      </c>
      <c r="B502" s="24" t="s">
        <v>1203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191" customFormat="1" ht="15.75" x14ac:dyDescent="0.25">
      <c r="A503" s="25" t="s">
        <v>263</v>
      </c>
      <c r="B503" s="20" t="s">
        <v>1203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191" customFormat="1" ht="15.75" x14ac:dyDescent="0.25">
      <c r="A504" s="25" t="s">
        <v>265</v>
      </c>
      <c r="B504" s="20" t="s">
        <v>1203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191" customFormat="1" ht="31.5" x14ac:dyDescent="0.25">
      <c r="A505" s="188" t="s">
        <v>799</v>
      </c>
      <c r="B505" s="20" t="s">
        <v>1204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191" customFormat="1" ht="31.5" x14ac:dyDescent="0.25">
      <c r="A506" s="25" t="s">
        <v>248</v>
      </c>
      <c r="B506" s="20" t="s">
        <v>1204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191" customFormat="1" ht="15.75" x14ac:dyDescent="0.25">
      <c r="A507" s="25" t="s">
        <v>819</v>
      </c>
      <c r="B507" s="20" t="s">
        <v>1204</v>
      </c>
      <c r="C507" s="40" t="s">
        <v>264</v>
      </c>
      <c r="D507" s="40" t="s">
        <v>215</v>
      </c>
      <c r="E507" s="20" t="s">
        <v>818</v>
      </c>
      <c r="F507" s="2"/>
      <c r="G507" s="10">
        <f>'пр.4.1.ведом.22-23'!G307</f>
        <v>45</v>
      </c>
      <c r="H507" s="10">
        <f>'пр.4.1.ведом.22-23'!H307</f>
        <v>45</v>
      </c>
    </row>
    <row r="508" spans="1:8" s="191" customFormat="1" ht="47.25" x14ac:dyDescent="0.25">
      <c r="A508" s="45" t="s">
        <v>261</v>
      </c>
      <c r="B508" s="20" t="s">
        <v>1204</v>
      </c>
      <c r="C508" s="40" t="s">
        <v>264</v>
      </c>
      <c r="D508" s="40" t="s">
        <v>215</v>
      </c>
      <c r="E508" s="20" t="s">
        <v>818</v>
      </c>
      <c r="F508" s="2">
        <v>903</v>
      </c>
      <c r="G508" s="10">
        <f>G507</f>
        <v>45</v>
      </c>
      <c r="H508" s="10">
        <f>H507</f>
        <v>45</v>
      </c>
    </row>
    <row r="509" spans="1:8" s="191" customFormat="1" ht="47.25" x14ac:dyDescent="0.25">
      <c r="A509" s="31" t="s">
        <v>815</v>
      </c>
      <c r="B509" s="20" t="s">
        <v>1205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191" customFormat="1" ht="94.5" x14ac:dyDescent="0.25">
      <c r="A510" s="25" t="s">
        <v>127</v>
      </c>
      <c r="B510" s="20" t="s">
        <v>1205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191" customFormat="1" ht="31.5" x14ac:dyDescent="0.25">
      <c r="A511" s="46" t="s">
        <v>342</v>
      </c>
      <c r="B511" s="20" t="s">
        <v>1205</v>
      </c>
      <c r="C511" s="40" t="s">
        <v>264</v>
      </c>
      <c r="D511" s="40" t="s">
        <v>215</v>
      </c>
      <c r="E511" s="20" t="s">
        <v>209</v>
      </c>
      <c r="F511" s="2"/>
      <c r="G511" s="10">
        <f>'пр.4.1.ведом.22-23'!G310</f>
        <v>1250</v>
      </c>
      <c r="H511" s="10">
        <f>'пр.4.1.ведом.22-23'!H310</f>
        <v>1250</v>
      </c>
    </row>
    <row r="512" spans="1:8" s="191" customFormat="1" ht="47.25" x14ac:dyDescent="0.25">
      <c r="A512" s="45" t="s">
        <v>261</v>
      </c>
      <c r="B512" s="20" t="s">
        <v>1205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191" customFormat="1" ht="31.5" hidden="1" x14ac:dyDescent="0.25">
      <c r="A513" s="25" t="s">
        <v>131</v>
      </c>
      <c r="B513" s="20" t="s">
        <v>1205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191" customFormat="1" ht="47.25" hidden="1" x14ac:dyDescent="0.25">
      <c r="A514" s="25" t="s">
        <v>133</v>
      </c>
      <c r="B514" s="20" t="s">
        <v>1205</v>
      </c>
      <c r="C514" s="40" t="s">
        <v>264</v>
      </c>
      <c r="D514" s="40" t="s">
        <v>215</v>
      </c>
      <c r="E514" s="20" t="s">
        <v>134</v>
      </c>
      <c r="F514" s="2"/>
      <c r="G514" s="10">
        <f>'пр.4.1.ведом.22-23'!G312</f>
        <v>0</v>
      </c>
      <c r="H514" s="10">
        <f>'пр.4.1.ведом.22-23'!H312</f>
        <v>0</v>
      </c>
    </row>
    <row r="515" spans="1:8" s="191" customFormat="1" ht="47.25" hidden="1" x14ac:dyDescent="0.25">
      <c r="A515" s="45" t="s">
        <v>261</v>
      </c>
      <c r="B515" s="20" t="s">
        <v>1205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1203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1203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815</v>
      </c>
      <c r="B518" s="20" t="s">
        <v>1205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1205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1205</v>
      </c>
      <c r="C520" s="40" t="s">
        <v>299</v>
      </c>
      <c r="D520" s="40" t="s">
        <v>118</v>
      </c>
      <c r="E520" s="40" t="s">
        <v>209</v>
      </c>
      <c r="F520" s="2"/>
      <c r="G520" s="10">
        <f>'пр.4.1.ведом.22-23'!G371</f>
        <v>0</v>
      </c>
      <c r="H520" s="10">
        <f>'пр.4.1.ведом.22-23'!H371</f>
        <v>0</v>
      </c>
    </row>
    <row r="521" spans="1:8" ht="47.25" hidden="1" x14ac:dyDescent="0.25">
      <c r="A521" s="45" t="s">
        <v>261</v>
      </c>
      <c r="B521" s="20" t="s">
        <v>1205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1205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1205</v>
      </c>
      <c r="C523" s="40" t="s">
        <v>299</v>
      </c>
      <c r="D523" s="40" t="s">
        <v>118</v>
      </c>
      <c r="E523" s="40" t="s">
        <v>134</v>
      </c>
      <c r="F523" s="2"/>
      <c r="G523" s="10">
        <f>'пр.4.1.ведом.22-23'!G373</f>
        <v>1380</v>
      </c>
      <c r="H523" s="10">
        <f>'пр.4.1.ведом.22-23'!H373</f>
        <v>1380</v>
      </c>
    </row>
    <row r="524" spans="1:8" ht="47.25" x14ac:dyDescent="0.25">
      <c r="A524" s="45" t="s">
        <v>261</v>
      </c>
      <c r="B524" s="20" t="s">
        <v>1205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946</v>
      </c>
      <c r="B525" s="24" t="s">
        <v>1206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191" customFormat="1" ht="15.75" x14ac:dyDescent="0.25">
      <c r="A526" s="25" t="s">
        <v>263</v>
      </c>
      <c r="B526" s="20" t="s">
        <v>1206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191" customFormat="1" ht="15.75" x14ac:dyDescent="0.25">
      <c r="A527" s="25" t="s">
        <v>265</v>
      </c>
      <c r="B527" s="20" t="s">
        <v>1206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191" customFormat="1" ht="47.25" x14ac:dyDescent="0.25">
      <c r="A528" s="25" t="s">
        <v>838</v>
      </c>
      <c r="B528" s="20" t="s">
        <v>1207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191" customFormat="1" ht="94.5" x14ac:dyDescent="0.25">
      <c r="A529" s="25" t="s">
        <v>127</v>
      </c>
      <c r="B529" s="20" t="s">
        <v>1207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191" customFormat="1" ht="31.5" x14ac:dyDescent="0.25">
      <c r="A530" s="25" t="s">
        <v>129</v>
      </c>
      <c r="B530" s="20" t="s">
        <v>1207</v>
      </c>
      <c r="C530" s="40" t="s">
        <v>264</v>
      </c>
      <c r="D530" s="40" t="s">
        <v>215</v>
      </c>
      <c r="E530" s="20" t="s">
        <v>209</v>
      </c>
      <c r="F530" s="2"/>
      <c r="G530" s="10">
        <f>'пр.4.1.ведом.22-23'!G316</f>
        <v>506</v>
      </c>
      <c r="H530" s="10">
        <f>'пр.4.1.ведом.22-23'!H316</f>
        <v>506</v>
      </c>
    </row>
    <row r="531" spans="1:8" s="191" customFormat="1" ht="47.25" x14ac:dyDescent="0.25">
      <c r="A531" s="45" t="s">
        <v>261</v>
      </c>
      <c r="B531" s="20" t="s">
        <v>1207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1206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1206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838</v>
      </c>
      <c r="B534" s="20" t="s">
        <v>1207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1207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1207</v>
      </c>
      <c r="C536" s="40" t="s">
        <v>299</v>
      </c>
      <c r="D536" s="40" t="s">
        <v>118</v>
      </c>
      <c r="E536" s="40" t="s">
        <v>209</v>
      </c>
      <c r="F536" s="2"/>
      <c r="G536" s="10">
        <f>'пр.4.1.ведом.22-23'!G377</f>
        <v>875</v>
      </c>
      <c r="H536" s="10">
        <f>'пр.4.1.ведом.22-23'!H377</f>
        <v>875</v>
      </c>
    </row>
    <row r="537" spans="1:8" ht="47.25" x14ac:dyDescent="0.25">
      <c r="A537" s="45" t="s">
        <v>261</v>
      </c>
      <c r="B537" s="20" t="s">
        <v>1207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191" customFormat="1" ht="15.75" x14ac:dyDescent="0.25">
      <c r="A538" s="68" t="s">
        <v>582</v>
      </c>
      <c r="B538" s="20" t="s">
        <v>1206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191" customFormat="1" ht="15.75" x14ac:dyDescent="0.25">
      <c r="A539" s="25" t="s">
        <v>583</v>
      </c>
      <c r="B539" s="20" t="s">
        <v>1206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191" customFormat="1" ht="47.25" x14ac:dyDescent="0.25">
      <c r="A540" s="25" t="s">
        <v>838</v>
      </c>
      <c r="B540" s="20" t="s">
        <v>1207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191" customFormat="1" ht="94.5" x14ac:dyDescent="0.25">
      <c r="A541" s="25" t="s">
        <v>127</v>
      </c>
      <c r="B541" s="20" t="s">
        <v>1207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191" customFormat="1" ht="31.5" x14ac:dyDescent="0.25">
      <c r="A542" s="25" t="s">
        <v>129</v>
      </c>
      <c r="B542" s="20" t="s">
        <v>1207</v>
      </c>
      <c r="C542" s="40" t="s">
        <v>238</v>
      </c>
      <c r="D542" s="40" t="s">
        <v>213</v>
      </c>
      <c r="E542" s="40" t="s">
        <v>209</v>
      </c>
      <c r="F542" s="2"/>
      <c r="G542" s="10">
        <f>'пр.4.1.ведом.22-23'!G482</f>
        <v>276</v>
      </c>
      <c r="H542" s="10">
        <f>'пр.4.1.ведом.22-23'!H482</f>
        <v>276</v>
      </c>
    </row>
    <row r="543" spans="1:8" s="191" customFormat="1" ht="47.25" x14ac:dyDescent="0.25">
      <c r="A543" s="45" t="s">
        <v>261</v>
      </c>
      <c r="B543" s="20" t="s">
        <v>1207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02" t="s">
        <v>899</v>
      </c>
      <c r="B544" s="24" t="s">
        <v>1208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191" customFormat="1" ht="15.75" x14ac:dyDescent="0.25">
      <c r="A545" s="25" t="s">
        <v>263</v>
      </c>
      <c r="B545" s="20" t="s">
        <v>1208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191" customFormat="1" ht="15.75" x14ac:dyDescent="0.25">
      <c r="A546" s="25" t="s">
        <v>265</v>
      </c>
      <c r="B546" s="20" t="s">
        <v>1208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191" customFormat="1" ht="110.25" x14ac:dyDescent="0.25">
      <c r="A547" s="31" t="s">
        <v>293</v>
      </c>
      <c r="B547" s="20" t="s">
        <v>1402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191" customFormat="1" ht="94.5" x14ac:dyDescent="0.25">
      <c r="A548" s="25" t="s">
        <v>127</v>
      </c>
      <c r="B548" s="20" t="s">
        <v>1402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191" customFormat="1" ht="31.5" x14ac:dyDescent="0.25">
      <c r="A549" s="46" t="s">
        <v>342</v>
      </c>
      <c r="B549" s="20" t="s">
        <v>1402</v>
      </c>
      <c r="C549" s="40" t="s">
        <v>264</v>
      </c>
      <c r="D549" s="40" t="s">
        <v>215</v>
      </c>
      <c r="E549" s="20" t="s">
        <v>209</v>
      </c>
      <c r="F549" s="2"/>
      <c r="G549" s="10">
        <f>'пр.4.1.ведом.22-23'!G320</f>
        <v>671</v>
      </c>
      <c r="H549" s="10">
        <f>'пр.4.1.ведом.22-23'!H320</f>
        <v>671</v>
      </c>
    </row>
    <row r="550" spans="1:8" s="191" customFormat="1" ht="47.25" x14ac:dyDescent="0.25">
      <c r="A550" s="45" t="s">
        <v>261</v>
      </c>
      <c r="B550" s="20" t="s">
        <v>1402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191" customFormat="1" ht="78.75" x14ac:dyDescent="0.25">
      <c r="A551" s="31" t="s">
        <v>289</v>
      </c>
      <c r="B551" s="20" t="s">
        <v>1209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191" customFormat="1" ht="94.5" x14ac:dyDescent="0.25">
      <c r="A552" s="25" t="s">
        <v>127</v>
      </c>
      <c r="B552" s="20" t="s">
        <v>1209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191" customFormat="1" ht="31.5" x14ac:dyDescent="0.25">
      <c r="A553" s="46" t="s">
        <v>342</v>
      </c>
      <c r="B553" s="20" t="s">
        <v>1209</v>
      </c>
      <c r="C553" s="40" t="s">
        <v>264</v>
      </c>
      <c r="D553" s="40" t="s">
        <v>215</v>
      </c>
      <c r="E553" s="20" t="s">
        <v>209</v>
      </c>
      <c r="F553" s="2"/>
      <c r="G553" s="10">
        <f>'пр.4.1.ведом.22-23'!G323</f>
        <v>106</v>
      </c>
      <c r="H553" s="10">
        <f>'пр.4.1.ведом.22-23'!H323</f>
        <v>106</v>
      </c>
    </row>
    <row r="554" spans="1:8" s="191" customFormat="1" ht="47.25" x14ac:dyDescent="0.25">
      <c r="A554" s="45" t="s">
        <v>261</v>
      </c>
      <c r="B554" s="20" t="s">
        <v>1209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191" customFormat="1" ht="94.5" x14ac:dyDescent="0.25">
      <c r="A555" s="31" t="s">
        <v>291</v>
      </c>
      <c r="B555" s="20" t="s">
        <v>1210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191" customFormat="1" ht="94.5" x14ac:dyDescent="0.25">
      <c r="A556" s="25" t="s">
        <v>127</v>
      </c>
      <c r="B556" s="20" t="s">
        <v>1210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191" customFormat="1" ht="31.5" x14ac:dyDescent="0.25">
      <c r="A557" s="46" t="s">
        <v>342</v>
      </c>
      <c r="B557" s="20" t="s">
        <v>1210</v>
      </c>
      <c r="C557" s="40" t="s">
        <v>264</v>
      </c>
      <c r="D557" s="40" t="s">
        <v>215</v>
      </c>
      <c r="E557" s="20" t="s">
        <v>209</v>
      </c>
      <c r="F557" s="2"/>
      <c r="G557" s="10">
        <f>'пр.4.1.ведом.22-23'!G326</f>
        <v>298.39999999999998</v>
      </c>
      <c r="H557" s="10">
        <f>'пр.4.1.ведом.22-23'!H326</f>
        <v>298.39999999999998</v>
      </c>
    </row>
    <row r="558" spans="1:8" s="191" customFormat="1" ht="47.25" x14ac:dyDescent="0.25">
      <c r="A558" s="45" t="s">
        <v>261</v>
      </c>
      <c r="B558" s="20" t="s">
        <v>1210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1208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1208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191" customFormat="1" ht="110.25" x14ac:dyDescent="0.25">
      <c r="A561" s="31" t="s">
        <v>293</v>
      </c>
      <c r="B561" s="20" t="s">
        <v>1402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191" customFormat="1" ht="94.5" x14ac:dyDescent="0.25">
      <c r="A562" s="25" t="s">
        <v>127</v>
      </c>
      <c r="B562" s="20" t="s">
        <v>1402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191" customFormat="1" ht="31.5" x14ac:dyDescent="0.25">
      <c r="A563" s="25" t="s">
        <v>208</v>
      </c>
      <c r="B563" s="20" t="s">
        <v>1402</v>
      </c>
      <c r="C563" s="40" t="s">
        <v>299</v>
      </c>
      <c r="D563" s="40" t="s">
        <v>118</v>
      </c>
      <c r="E563" s="40" t="s">
        <v>209</v>
      </c>
      <c r="F563" s="2"/>
      <c r="G563" s="10">
        <f>'пр.4.1.ведом.22-23'!G381</f>
        <v>2100.6</v>
      </c>
      <c r="H563" s="10">
        <f>'пр.4.1.ведом.22-23'!H381</f>
        <v>2100.6</v>
      </c>
    </row>
    <row r="564" spans="1:8" s="191" customFormat="1" ht="47.25" x14ac:dyDescent="0.25">
      <c r="A564" s="45" t="s">
        <v>261</v>
      </c>
      <c r="B564" s="20" t="s">
        <v>1402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191" customFormat="1" ht="94.5" x14ac:dyDescent="0.25">
      <c r="A565" s="25" t="s">
        <v>331</v>
      </c>
      <c r="B565" s="20" t="s">
        <v>1289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191" customFormat="1" ht="94.5" x14ac:dyDescent="0.25">
      <c r="A566" s="25" t="s">
        <v>127</v>
      </c>
      <c r="B566" s="20" t="s">
        <v>1289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191" customFormat="1" ht="31.5" x14ac:dyDescent="0.25">
      <c r="A567" s="25" t="s">
        <v>208</v>
      </c>
      <c r="B567" s="20" t="s">
        <v>1289</v>
      </c>
      <c r="C567" s="20" t="s">
        <v>299</v>
      </c>
      <c r="D567" s="20" t="s">
        <v>118</v>
      </c>
      <c r="E567" s="20" t="s">
        <v>209</v>
      </c>
      <c r="F567" s="20"/>
      <c r="G567" s="10">
        <f>'пр.4.1.ведом.22-23'!G384</f>
        <v>341.4</v>
      </c>
      <c r="H567" s="10">
        <f>'пр.4.1.ведом.22-23'!H384</f>
        <v>341.4</v>
      </c>
    </row>
    <row r="568" spans="1:8" s="191" customFormat="1" ht="47.25" x14ac:dyDescent="0.25">
      <c r="A568" s="45" t="s">
        <v>261</v>
      </c>
      <c r="B568" s="20" t="s">
        <v>1289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191" customFormat="1" ht="47.25" x14ac:dyDescent="0.25">
      <c r="A569" s="23" t="s">
        <v>901</v>
      </c>
      <c r="B569" s="24" t="s">
        <v>1213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191" customFormat="1" ht="15.75" x14ac:dyDescent="0.25">
      <c r="A570" s="73" t="s">
        <v>298</v>
      </c>
      <c r="B570" s="20" t="s">
        <v>1213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191" customFormat="1" ht="15.75" x14ac:dyDescent="0.25">
      <c r="A571" s="73" t="s">
        <v>300</v>
      </c>
      <c r="B571" s="20" t="s">
        <v>1213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191" customFormat="1" ht="31.5" x14ac:dyDescent="0.25">
      <c r="A572" s="25" t="s">
        <v>820</v>
      </c>
      <c r="B572" s="20" t="s">
        <v>1214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191" customFormat="1" ht="31.5" x14ac:dyDescent="0.25">
      <c r="A573" s="25" t="s">
        <v>131</v>
      </c>
      <c r="B573" s="20" t="s">
        <v>1214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191" customFormat="1" ht="47.25" x14ac:dyDescent="0.25">
      <c r="A574" s="25" t="s">
        <v>133</v>
      </c>
      <c r="B574" s="20" t="s">
        <v>1214</v>
      </c>
      <c r="C574" s="40" t="s">
        <v>299</v>
      </c>
      <c r="D574" s="40" t="s">
        <v>118</v>
      </c>
      <c r="E574" s="40" t="s">
        <v>134</v>
      </c>
      <c r="F574" s="2"/>
      <c r="G574" s="10">
        <f>'пр.4.1.ведом.22-23'!G388</f>
        <v>50</v>
      </c>
      <c r="H574" s="10">
        <f>'пр.4.1.ведом.22-23'!H388</f>
        <v>50</v>
      </c>
    </row>
    <row r="575" spans="1:8" s="191" customFormat="1" ht="47.25" x14ac:dyDescent="0.25">
      <c r="A575" s="45" t="s">
        <v>261</v>
      </c>
      <c r="B575" s="20" t="s">
        <v>1214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191" customFormat="1" ht="31.5" x14ac:dyDescent="0.25">
      <c r="A576" s="23" t="s">
        <v>1009</v>
      </c>
      <c r="B576" s="24" t="s">
        <v>1215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191" customFormat="1" ht="15.75" x14ac:dyDescent="0.25">
      <c r="A577" s="68" t="s">
        <v>298</v>
      </c>
      <c r="B577" s="20" t="s">
        <v>1215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191" customFormat="1" ht="15.75" x14ac:dyDescent="0.25">
      <c r="A578" s="68" t="s">
        <v>300</v>
      </c>
      <c r="B578" s="20" t="s">
        <v>1215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191" customFormat="1" ht="47.25" x14ac:dyDescent="0.25">
      <c r="A579" s="25" t="s">
        <v>1465</v>
      </c>
      <c r="B579" s="20" t="s">
        <v>1216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191" customFormat="1" ht="31.5" x14ac:dyDescent="0.25">
      <c r="A580" s="25" t="s">
        <v>131</v>
      </c>
      <c r="B580" s="20" t="s">
        <v>1216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191" customFormat="1" ht="47.25" x14ac:dyDescent="0.25">
      <c r="A581" s="25" t="s">
        <v>133</v>
      </c>
      <c r="B581" s="20" t="s">
        <v>1216</v>
      </c>
      <c r="C581" s="40" t="s">
        <v>299</v>
      </c>
      <c r="D581" s="40" t="s">
        <v>118</v>
      </c>
      <c r="E581" s="40" t="s">
        <v>134</v>
      </c>
      <c r="F581" s="2"/>
      <c r="G581" s="10">
        <f>'пр.4.1.ведом.22-23'!G392</f>
        <v>68.7</v>
      </c>
      <c r="H581" s="10">
        <f>'пр.4.1.ведом.22-23'!H392</f>
        <v>68.7</v>
      </c>
    </row>
    <row r="582" spans="1:8" s="191" customFormat="1" ht="47.25" x14ac:dyDescent="0.25">
      <c r="A582" s="45" t="s">
        <v>261</v>
      </c>
      <c r="B582" s="20" t="s">
        <v>1216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191" customFormat="1" ht="36" customHeight="1" x14ac:dyDescent="0.25">
      <c r="A583" s="240" t="s">
        <v>1177</v>
      </c>
      <c r="B583" s="24" t="s">
        <v>1211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2806.2</v>
      </c>
    </row>
    <row r="584" spans="1:8" s="191" customFormat="1" ht="15.75" x14ac:dyDescent="0.25">
      <c r="A584" s="68" t="s">
        <v>298</v>
      </c>
      <c r="B584" s="20" t="s">
        <v>1211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2806.2</v>
      </c>
    </row>
    <row r="585" spans="1:8" s="191" customFormat="1" ht="15.75" x14ac:dyDescent="0.25">
      <c r="A585" s="68" t="s">
        <v>300</v>
      </c>
      <c r="B585" s="20" t="s">
        <v>1211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2806.2</v>
      </c>
    </row>
    <row r="586" spans="1:8" s="191" customFormat="1" ht="31.5" x14ac:dyDescent="0.25">
      <c r="A586" s="98" t="s">
        <v>1184</v>
      </c>
      <c r="B586" s="20" t="s">
        <v>1212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2806.2</v>
      </c>
    </row>
    <row r="587" spans="1:8" s="191" customFormat="1" ht="31.5" x14ac:dyDescent="0.25">
      <c r="A587" s="25" t="s">
        <v>131</v>
      </c>
      <c r="B587" s="20" t="s">
        <v>1212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2806.2</v>
      </c>
    </row>
    <row r="588" spans="1:8" s="191" customFormat="1" ht="47.25" x14ac:dyDescent="0.25">
      <c r="A588" s="25" t="s">
        <v>133</v>
      </c>
      <c r="B588" s="20" t="s">
        <v>1212</v>
      </c>
      <c r="C588" s="40" t="s">
        <v>299</v>
      </c>
      <c r="D588" s="40" t="s">
        <v>118</v>
      </c>
      <c r="E588" s="40" t="s">
        <v>134</v>
      </c>
      <c r="F588" s="2"/>
      <c r="G588" s="10">
        <f>'пр.4.1.ведом.22-23'!G396</f>
        <v>300</v>
      </c>
      <c r="H588" s="10">
        <f>'пр.4.1.ведом.22-23'!H396</f>
        <v>2806.2</v>
      </c>
    </row>
    <row r="589" spans="1:8" s="191" customFormat="1" ht="47.25" x14ac:dyDescent="0.25">
      <c r="A589" s="45" t="s">
        <v>261</v>
      </c>
      <c r="B589" s="20" t="s">
        <v>1212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2806.2</v>
      </c>
    </row>
    <row r="590" spans="1:8" ht="54" hidden="1" customHeight="1" x14ac:dyDescent="0.25">
      <c r="A590" s="253" t="s">
        <v>1217</v>
      </c>
      <c r="B590" s="254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54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54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62"/>
      <c r="B593" s="254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54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54"/>
      <c r="C595" s="20" t="s">
        <v>299</v>
      </c>
      <c r="D595" s="20" t="s">
        <v>118</v>
      </c>
      <c r="E595" s="40" t="s">
        <v>134</v>
      </c>
      <c r="F595" s="2"/>
      <c r="G595" s="10">
        <f>'пр.4.1.ведом.22-23'!G400</f>
        <v>0</v>
      </c>
      <c r="H595" s="10">
        <f>'пр.4.1.ведом.22-23'!H400</f>
        <v>0</v>
      </c>
    </row>
    <row r="596" spans="1:8" ht="47.25" hidden="1" x14ac:dyDescent="0.25">
      <c r="A596" s="45" t="s">
        <v>1313</v>
      </c>
      <c r="B596" s="254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1356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1024</v>
      </c>
      <c r="B598" s="7" t="s">
        <v>933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191" customFormat="1" ht="15.75" x14ac:dyDescent="0.25">
      <c r="A599" s="31" t="s">
        <v>117</v>
      </c>
      <c r="B599" s="40" t="s">
        <v>933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191" customFormat="1" ht="15.75" x14ac:dyDescent="0.25">
      <c r="A600" s="31" t="s">
        <v>139</v>
      </c>
      <c r="B600" s="40" t="s">
        <v>933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191" customFormat="1" ht="47.25" x14ac:dyDescent="0.25">
      <c r="A601" s="31" t="s">
        <v>1081</v>
      </c>
      <c r="B601" s="20" t="s">
        <v>1025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191" customFormat="1" ht="31.5" x14ac:dyDescent="0.25">
      <c r="A602" s="25" t="s">
        <v>131</v>
      </c>
      <c r="B602" s="20" t="s">
        <v>1025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191" customFormat="1" ht="47.25" x14ac:dyDescent="0.25">
      <c r="A603" s="25" t="s">
        <v>133</v>
      </c>
      <c r="B603" s="20" t="s">
        <v>1025</v>
      </c>
      <c r="C603" s="40" t="s">
        <v>118</v>
      </c>
      <c r="D603" s="40" t="s">
        <v>140</v>
      </c>
      <c r="E603" s="2">
        <v>240</v>
      </c>
      <c r="F603" s="72"/>
      <c r="G603" s="10">
        <f>'пр.4.1.ведом.22-23'!G145</f>
        <v>12</v>
      </c>
      <c r="H603" s="10">
        <f>'пр.4.1.ведом.22-23'!H145</f>
        <v>40</v>
      </c>
    </row>
    <row r="604" spans="1:8" s="191" customFormat="1" ht="47.25" x14ac:dyDescent="0.25">
      <c r="A604" s="45" t="s">
        <v>623</v>
      </c>
      <c r="B604" s="20" t="s">
        <v>1025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933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933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1081</v>
      </c>
      <c r="B607" s="20" t="s">
        <v>1025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1025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1025</v>
      </c>
      <c r="C609" s="40" t="s">
        <v>234</v>
      </c>
      <c r="D609" s="40" t="s">
        <v>234</v>
      </c>
      <c r="E609" s="2">
        <v>240</v>
      </c>
      <c r="F609" s="72"/>
      <c r="G609" s="10">
        <f>'пр.4.1.ведом.22-23'!G1037</f>
        <v>0</v>
      </c>
      <c r="H609" s="10">
        <f>'пр.4.1.ведом.22-23'!H1037</f>
        <v>0</v>
      </c>
    </row>
    <row r="610" spans="1:8" ht="47.25" hidden="1" x14ac:dyDescent="0.25">
      <c r="A610" s="45" t="s">
        <v>623</v>
      </c>
      <c r="B610" s="20" t="s">
        <v>1025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933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933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1082</v>
      </c>
      <c r="B613" s="20" t="s">
        <v>934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934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934</v>
      </c>
      <c r="C615" s="40" t="s">
        <v>264</v>
      </c>
      <c r="D615" s="40" t="s">
        <v>118</v>
      </c>
      <c r="E615" s="40" t="s">
        <v>275</v>
      </c>
      <c r="F615" s="72"/>
      <c r="G615" s="10">
        <f>'пр.4.1.ведом.22-23'!G603</f>
        <v>80</v>
      </c>
      <c r="H615" s="10">
        <f>'пр.4.1.ведом.22-23'!H603</f>
        <v>25</v>
      </c>
    </row>
    <row r="616" spans="1:8" ht="31.5" x14ac:dyDescent="0.25">
      <c r="A616" s="31" t="s">
        <v>403</v>
      </c>
      <c r="B616" s="20" t="s">
        <v>934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933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1082</v>
      </c>
      <c r="B618" s="20" t="s">
        <v>934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934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934</v>
      </c>
      <c r="C620" s="40" t="s">
        <v>264</v>
      </c>
      <c r="D620" s="40" t="s">
        <v>213</v>
      </c>
      <c r="E620" s="40" t="s">
        <v>275</v>
      </c>
      <c r="F620" s="72"/>
      <c r="G620" s="10">
        <f>'пр.4.1.ведом.22-23'!G685</f>
        <v>60</v>
      </c>
      <c r="H620" s="10">
        <f>'пр.4.1.ведом.22-23'!H685</f>
        <v>70</v>
      </c>
    </row>
    <row r="621" spans="1:8" ht="31.5" x14ac:dyDescent="0.25">
      <c r="A621" s="31" t="s">
        <v>403</v>
      </c>
      <c r="B621" s="20" t="s">
        <v>934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191" customFormat="1" ht="15.75" x14ac:dyDescent="0.25">
      <c r="A622" s="29" t="s">
        <v>265</v>
      </c>
      <c r="B622" s="40" t="s">
        <v>933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191" customFormat="1" ht="47.25" x14ac:dyDescent="0.25">
      <c r="A623" s="31" t="s">
        <v>1081</v>
      </c>
      <c r="B623" s="20" t="s">
        <v>1025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191" customFormat="1" ht="47.25" x14ac:dyDescent="0.25">
      <c r="A624" s="31" t="s">
        <v>272</v>
      </c>
      <c r="B624" s="20" t="s">
        <v>1025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191" customFormat="1" ht="15.75" x14ac:dyDescent="0.25">
      <c r="A625" s="31" t="s">
        <v>274</v>
      </c>
      <c r="B625" s="20" t="s">
        <v>1025</v>
      </c>
      <c r="C625" s="40" t="s">
        <v>264</v>
      </c>
      <c r="D625" s="40" t="s">
        <v>215</v>
      </c>
      <c r="E625" s="40" t="s">
        <v>134</v>
      </c>
      <c r="F625" s="72"/>
      <c r="G625" s="10">
        <f>'пр.4.1.ведом.22-23'!G331</f>
        <v>6</v>
      </c>
      <c r="H625" s="10">
        <f>'пр.4.1.ведом.22-23'!H331</f>
        <v>0</v>
      </c>
    </row>
    <row r="626" spans="1:8" s="191" customFormat="1" ht="47.25" x14ac:dyDescent="0.25">
      <c r="A626" s="45" t="s">
        <v>261</v>
      </c>
      <c r="B626" s="20" t="s">
        <v>1025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933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933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1081</v>
      </c>
      <c r="B629" s="20" t="s">
        <v>1025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1025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1025</v>
      </c>
      <c r="C631" s="40" t="s">
        <v>299</v>
      </c>
      <c r="D631" s="40" t="s">
        <v>118</v>
      </c>
      <c r="E631" s="40" t="s">
        <v>134</v>
      </c>
      <c r="F631" s="2"/>
      <c r="G631" s="10">
        <f>'пр.4.1.ведом.22-23'!G405</f>
        <v>10</v>
      </c>
      <c r="H631" s="10">
        <f>'пр.4.1.ведом.22-23'!H405</f>
        <v>0</v>
      </c>
    </row>
    <row r="632" spans="1:8" ht="47.25" x14ac:dyDescent="0.25">
      <c r="A632" s="45" t="s">
        <v>261</v>
      </c>
      <c r="B632" s="20" t="s">
        <v>1025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191" customFormat="1" ht="31.5" x14ac:dyDescent="0.25">
      <c r="A633" s="31" t="s">
        <v>333</v>
      </c>
      <c r="B633" s="20" t="s">
        <v>933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191" customFormat="1" ht="52.35" customHeight="1" x14ac:dyDescent="0.25">
      <c r="A634" s="31" t="s">
        <v>1081</v>
      </c>
      <c r="B634" s="20" t="s">
        <v>1025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191" customFormat="1" ht="31.5" x14ac:dyDescent="0.25">
      <c r="A635" s="25" t="s">
        <v>131</v>
      </c>
      <c r="B635" s="20" t="s">
        <v>1025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191" customFormat="1" ht="47.25" x14ac:dyDescent="0.25">
      <c r="A636" s="25" t="s">
        <v>133</v>
      </c>
      <c r="B636" s="20" t="s">
        <v>1025</v>
      </c>
      <c r="C636" s="40" t="s">
        <v>299</v>
      </c>
      <c r="D636" s="40" t="s">
        <v>150</v>
      </c>
      <c r="E636" s="40" t="s">
        <v>134</v>
      </c>
      <c r="F636" s="2"/>
      <c r="G636" s="10">
        <f>'пр.4.1.ведом.22-23'!G444</f>
        <v>0</v>
      </c>
      <c r="H636" s="10">
        <f>'пр.4.1.ведом.22-23'!H444</f>
        <v>4</v>
      </c>
    </row>
    <row r="637" spans="1:8" s="191" customFormat="1" ht="47.25" x14ac:dyDescent="0.25">
      <c r="A637" s="45" t="s">
        <v>261</v>
      </c>
      <c r="B637" s="20" t="s">
        <v>1025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933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933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1082</v>
      </c>
      <c r="B640" s="40" t="s">
        <v>934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934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934</v>
      </c>
      <c r="C642" s="40" t="s">
        <v>491</v>
      </c>
      <c r="D642" s="40" t="s">
        <v>118</v>
      </c>
      <c r="E642" s="40" t="s">
        <v>275</v>
      </c>
      <c r="F642" s="73"/>
      <c r="G642" s="10">
        <f>'пр.4.1.ведом.22-23'!G797</f>
        <v>0</v>
      </c>
      <c r="H642" s="10">
        <f>'пр.4.1.ведом.22-23'!H797</f>
        <v>8</v>
      </c>
    </row>
    <row r="643" spans="1:8" ht="47.25" x14ac:dyDescent="0.25">
      <c r="A643" s="45" t="s">
        <v>480</v>
      </c>
      <c r="B643" s="40" t="s">
        <v>934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1361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1431</v>
      </c>
      <c r="B645" s="7" t="s">
        <v>1272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1272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1272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1427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1427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1427</v>
      </c>
      <c r="C650" s="40" t="s">
        <v>234</v>
      </c>
      <c r="D650" s="40" t="s">
        <v>215</v>
      </c>
      <c r="E650" s="2">
        <v>240</v>
      </c>
      <c r="F650" s="2"/>
      <c r="G650" s="10">
        <f>'пр.4.1.ведом.22-23'!G967</f>
        <v>365</v>
      </c>
      <c r="H650" s="10">
        <f>'пр.4.1.ведом.22-23'!H967</f>
        <v>365</v>
      </c>
    </row>
    <row r="651" spans="1:8" ht="47.25" x14ac:dyDescent="0.25">
      <c r="A651" s="45" t="s">
        <v>623</v>
      </c>
      <c r="B651" s="20" t="s">
        <v>1427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1417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1417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1417</v>
      </c>
      <c r="C654" s="40" t="s">
        <v>234</v>
      </c>
      <c r="D654" s="40" t="s">
        <v>215</v>
      </c>
      <c r="E654" s="2">
        <v>240</v>
      </c>
      <c r="F654" s="2"/>
      <c r="G654" s="10">
        <f>'пр.4.1.ведом.22-23'!G970</f>
        <v>1080</v>
      </c>
      <c r="H654" s="10">
        <f>'пр.4.1.ведом.22-23'!H970</f>
        <v>1188</v>
      </c>
    </row>
    <row r="655" spans="1:8" ht="47.25" x14ac:dyDescent="0.25">
      <c r="A655" s="45" t="s">
        <v>623</v>
      </c>
      <c r="B655" s="20" t="s">
        <v>1417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1417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835</v>
      </c>
      <c r="B657" s="20" t="s">
        <v>1417</v>
      </c>
      <c r="C657" s="40" t="s">
        <v>234</v>
      </c>
      <c r="D657" s="40" t="s">
        <v>215</v>
      </c>
      <c r="E657" s="2">
        <v>830</v>
      </c>
      <c r="F657" s="2"/>
      <c r="G657" s="10">
        <f>'пр.4.1.ведом.22-23'!G972</f>
        <v>0</v>
      </c>
      <c r="H657" s="10">
        <f>'пр.4.1.ведом.22-23'!H972</f>
        <v>0</v>
      </c>
    </row>
    <row r="658" spans="1:8" ht="47.25" hidden="1" x14ac:dyDescent="0.25">
      <c r="A658" s="45" t="s">
        <v>623</v>
      </c>
      <c r="B658" s="20" t="s">
        <v>1417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1417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1078</v>
      </c>
      <c r="B660" s="20" t="s">
        <v>1417</v>
      </c>
      <c r="C660" s="40" t="s">
        <v>234</v>
      </c>
      <c r="D660" s="40" t="s">
        <v>215</v>
      </c>
      <c r="E660" s="2">
        <v>850</v>
      </c>
      <c r="F660" s="2"/>
      <c r="G660" s="10">
        <f>'пр.4.1.ведом.22-23'!G973</f>
        <v>0</v>
      </c>
      <c r="H660" s="10">
        <f>'пр.4.1.ведом.22-23'!H973</f>
        <v>0</v>
      </c>
    </row>
    <row r="661" spans="1:8" ht="47.25" hidden="1" x14ac:dyDescent="0.25">
      <c r="A661" s="45" t="s">
        <v>623</v>
      </c>
      <c r="B661" s="20" t="s">
        <v>1417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1296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1296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1296</v>
      </c>
      <c r="C664" s="40" t="s">
        <v>234</v>
      </c>
      <c r="D664" s="40" t="s">
        <v>215</v>
      </c>
      <c r="E664" s="2">
        <v>240</v>
      </c>
      <c r="F664" s="2"/>
      <c r="G664" s="10">
        <f>'пр.4.1.ведом.22-23'!G976</f>
        <v>0</v>
      </c>
      <c r="H664" s="10">
        <f>'пр.4.1.ведом.22-23'!H976</f>
        <v>0</v>
      </c>
    </row>
    <row r="665" spans="1:8" ht="47.25" hidden="1" x14ac:dyDescent="0.25">
      <c r="A665" s="45" t="s">
        <v>623</v>
      </c>
      <c r="B665" s="20" t="s">
        <v>1296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1273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1273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1273</v>
      </c>
      <c r="C668" s="40" t="s">
        <v>234</v>
      </c>
      <c r="D668" s="40" t="s">
        <v>215</v>
      </c>
      <c r="E668" s="2">
        <v>240</v>
      </c>
      <c r="F668" s="2"/>
      <c r="G668" s="10">
        <f>'пр.4.1.ведом.22-23'!G979</f>
        <v>50</v>
      </c>
      <c r="H668" s="10">
        <f>'пр.4.1.ведом.22-23'!H979</f>
        <v>55</v>
      </c>
    </row>
    <row r="669" spans="1:8" ht="47.25" x14ac:dyDescent="0.25">
      <c r="A669" s="45" t="s">
        <v>623</v>
      </c>
      <c r="B669" s="20" t="s">
        <v>1273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70" t="s">
        <v>1277</v>
      </c>
      <c r="B670" s="20" t="s">
        <v>1274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1274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1274</v>
      </c>
      <c r="C672" s="40" t="s">
        <v>234</v>
      </c>
      <c r="D672" s="40" t="s">
        <v>215</v>
      </c>
      <c r="E672" s="2">
        <v>240</v>
      </c>
      <c r="F672" s="2"/>
      <c r="G672" s="10">
        <f>'пр.4.1.ведом.22-23'!G982</f>
        <v>300</v>
      </c>
      <c r="H672" s="10">
        <f>'пр.4.1.ведом.22-23'!H982</f>
        <v>300</v>
      </c>
    </row>
    <row r="673" spans="1:8" ht="47.25" x14ac:dyDescent="0.25">
      <c r="A673" s="45" t="s">
        <v>623</v>
      </c>
      <c r="B673" s="20" t="s">
        <v>1274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1274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191" customFormat="1" ht="15.75" x14ac:dyDescent="0.25">
      <c r="A675" s="25" t="s">
        <v>704</v>
      </c>
      <c r="B675" s="20" t="s">
        <v>1274</v>
      </c>
      <c r="C675" s="40" t="s">
        <v>234</v>
      </c>
      <c r="D675" s="40" t="s">
        <v>215</v>
      </c>
      <c r="E675" s="2">
        <v>850</v>
      </c>
      <c r="F675" s="2"/>
      <c r="G675" s="10">
        <f>'пр.4.1.ведом.22-23'!G984</f>
        <v>75</v>
      </c>
      <c r="H675" s="10">
        <f>'пр.4.1.ведом.22-23'!H984</f>
        <v>75</v>
      </c>
    </row>
    <row r="676" spans="1:8" s="191" customFormat="1" ht="47.25" x14ac:dyDescent="0.25">
      <c r="A676" s="45" t="s">
        <v>623</v>
      </c>
      <c r="B676" s="20" t="s">
        <v>1274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191" customFormat="1" ht="31.5" x14ac:dyDescent="0.25">
      <c r="A677" s="45" t="s">
        <v>559</v>
      </c>
      <c r="B677" s="20" t="s">
        <v>1275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191" customFormat="1" ht="31.5" x14ac:dyDescent="0.25">
      <c r="A678" s="25" t="s">
        <v>131</v>
      </c>
      <c r="B678" s="20" t="s">
        <v>1275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1275</v>
      </c>
      <c r="C679" s="40" t="s">
        <v>234</v>
      </c>
      <c r="D679" s="40" t="s">
        <v>215</v>
      </c>
      <c r="E679" s="2">
        <v>240</v>
      </c>
      <c r="F679" s="2"/>
      <c r="G679" s="10">
        <f>'пр.4.1.ведом.22-23'!G987</f>
        <v>0</v>
      </c>
      <c r="H679" s="10">
        <f>'пр.4.1.ведом.22-23'!H987</f>
        <v>130</v>
      </c>
    </row>
    <row r="680" spans="1:8" ht="47.25" x14ac:dyDescent="0.25">
      <c r="A680" s="45" t="s">
        <v>623</v>
      </c>
      <c r="B680" s="20" t="s">
        <v>1275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13" t="s">
        <v>1089</v>
      </c>
      <c r="B681" s="20" t="s">
        <v>1276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1276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1276</v>
      </c>
      <c r="C683" s="40" t="s">
        <v>234</v>
      </c>
      <c r="D683" s="40" t="s">
        <v>215</v>
      </c>
      <c r="E683" s="2">
        <v>240</v>
      </c>
      <c r="F683" s="2"/>
      <c r="G683" s="10">
        <f>'пр.4.1.ведом.22-23'!G990</f>
        <v>50</v>
      </c>
      <c r="H683" s="10">
        <f>'пр.4.1.ведом.22-23'!H990</f>
        <v>60</v>
      </c>
    </row>
    <row r="684" spans="1:8" ht="47.25" x14ac:dyDescent="0.25">
      <c r="A684" s="45" t="s">
        <v>623</v>
      </c>
      <c r="B684" s="20" t="s">
        <v>1276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890</v>
      </c>
      <c r="B685" s="24" t="s">
        <v>1294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1294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1294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1325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1325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1325</v>
      </c>
      <c r="C690" s="40" t="s">
        <v>234</v>
      </c>
      <c r="D690" s="40" t="s">
        <v>215</v>
      </c>
      <c r="E690" s="20" t="s">
        <v>134</v>
      </c>
      <c r="F690" s="2"/>
      <c r="G690" s="10">
        <f>'пр.4.1.ведом.22-23'!G994</f>
        <v>0</v>
      </c>
      <c r="H690" s="10">
        <f>'пр.4.1.ведом.22-23'!H994</f>
        <v>0</v>
      </c>
    </row>
    <row r="691" spans="1:8" ht="47.25" hidden="1" x14ac:dyDescent="0.25">
      <c r="A691" s="45" t="s">
        <v>623</v>
      </c>
      <c r="B691" s="20" t="s">
        <v>1325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1071</v>
      </c>
      <c r="B692" s="20" t="s">
        <v>1293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1293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1293</v>
      </c>
      <c r="C694" s="40" t="s">
        <v>234</v>
      </c>
      <c r="D694" s="40" t="s">
        <v>215</v>
      </c>
      <c r="E694" s="20" t="s">
        <v>134</v>
      </c>
      <c r="F694" s="2"/>
      <c r="G694" s="10">
        <f>'пр.4.1.ведом.22-23'!G997</f>
        <v>0</v>
      </c>
      <c r="H694" s="10">
        <f>'пр.4.1.ведом.22-23'!H997</f>
        <v>0</v>
      </c>
    </row>
    <row r="695" spans="1:8" ht="47.25" hidden="1" x14ac:dyDescent="0.25">
      <c r="A695" s="45" t="s">
        <v>623</v>
      </c>
      <c r="B695" s="20" t="s">
        <v>1293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1343</v>
      </c>
      <c r="B696" s="187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1005</v>
      </c>
      <c r="B697" s="187" t="s">
        <v>876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876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876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897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897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897</v>
      </c>
      <c r="C702" s="40" t="s">
        <v>150</v>
      </c>
      <c r="D702" s="40" t="s">
        <v>234</v>
      </c>
      <c r="E702" s="40" t="s">
        <v>160</v>
      </c>
      <c r="F702" s="2"/>
      <c r="G702" s="10">
        <f>'пр.4.1.ведом.22-23'!G197</f>
        <v>274</v>
      </c>
      <c r="H702" s="10">
        <f>'пр.4.1.ведом.22-23'!H197</f>
        <v>274</v>
      </c>
    </row>
    <row r="703" spans="1:8" ht="31.5" x14ac:dyDescent="0.25">
      <c r="A703" s="29" t="s">
        <v>148</v>
      </c>
      <c r="B703" s="20" t="s">
        <v>897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198" t="s">
        <v>1006</v>
      </c>
      <c r="B704" s="24" t="s">
        <v>878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876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876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877</v>
      </c>
      <c r="B707" s="5" t="s">
        <v>898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898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898</v>
      </c>
      <c r="C709" s="40" t="s">
        <v>150</v>
      </c>
      <c r="D709" s="40" t="s">
        <v>234</v>
      </c>
      <c r="E709" s="40" t="s">
        <v>160</v>
      </c>
      <c r="F709" s="2"/>
      <c r="G709" s="10">
        <f>'пр.4.1.ведом.22-23'!G204</f>
        <v>0</v>
      </c>
      <c r="H709" s="10">
        <f>'пр.4.1.ведом.22-23'!H204</f>
        <v>0</v>
      </c>
    </row>
    <row r="710" spans="1:8" ht="31.5" hidden="1" x14ac:dyDescent="0.25">
      <c r="A710" s="29" t="s">
        <v>148</v>
      </c>
      <c r="B710" s="5" t="s">
        <v>898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1509</v>
      </c>
      <c r="B711" s="7" t="s">
        <v>518</v>
      </c>
      <c r="C711" s="7"/>
      <c r="D711" s="7"/>
      <c r="E711" s="72"/>
      <c r="F711" s="3"/>
      <c r="G711" s="59">
        <f>G712+G719+G726+G733+G740+G747+G754</f>
        <v>700</v>
      </c>
      <c r="H711" s="59">
        <f>H712+H719+H726+H733+H740+H747+H754</f>
        <v>700</v>
      </c>
    </row>
    <row r="712" spans="1:8" ht="31.5" x14ac:dyDescent="0.25">
      <c r="A712" s="23" t="s">
        <v>962</v>
      </c>
      <c r="B712" s="24" t="s">
        <v>964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964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964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965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965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965</v>
      </c>
      <c r="C717" s="40" t="s">
        <v>234</v>
      </c>
      <c r="D717" s="40" t="s">
        <v>213</v>
      </c>
      <c r="E717" s="40" t="s">
        <v>134</v>
      </c>
      <c r="F717" s="2"/>
      <c r="G717" s="10">
        <f>'пр.4.1.ведом.22-23'!G923</f>
        <v>700</v>
      </c>
      <c r="H717" s="10">
        <f>'пр.4.1.ведом.22-23'!H923</f>
        <v>700</v>
      </c>
    </row>
    <row r="718" spans="1:8" ht="47.25" x14ac:dyDescent="0.25">
      <c r="A718" s="45" t="s">
        <v>623</v>
      </c>
      <c r="B718" s="20" t="s">
        <v>965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966</v>
      </c>
      <c r="B719" s="24" t="s">
        <v>967</v>
      </c>
      <c r="C719" s="40"/>
      <c r="D719" s="40"/>
      <c r="E719" s="40"/>
      <c r="F719" s="2"/>
      <c r="G719" s="59">
        <f>G720</f>
        <v>0</v>
      </c>
      <c r="H719" s="59">
        <f>H720</f>
        <v>0</v>
      </c>
    </row>
    <row r="720" spans="1:8" ht="15.75" hidden="1" x14ac:dyDescent="0.25">
      <c r="A720" s="29" t="s">
        <v>390</v>
      </c>
      <c r="B720" s="40" t="s">
        <v>967</v>
      </c>
      <c r="C720" s="40" t="s">
        <v>234</v>
      </c>
      <c r="D720" s="40"/>
      <c r="E720" s="73"/>
      <c r="F720" s="2"/>
      <c r="G720" s="10">
        <f t="shared" ref="G720:H720" si="100">G721</f>
        <v>0</v>
      </c>
      <c r="H720" s="10">
        <f t="shared" si="100"/>
        <v>0</v>
      </c>
    </row>
    <row r="721" spans="1:8" ht="15.75" hidden="1" x14ac:dyDescent="0.25">
      <c r="A721" s="29" t="s">
        <v>517</v>
      </c>
      <c r="B721" s="40" t="s">
        <v>967</v>
      </c>
      <c r="C721" s="40" t="s">
        <v>234</v>
      </c>
      <c r="D721" s="40" t="s">
        <v>213</v>
      </c>
      <c r="E721" s="73"/>
      <c r="F721" s="2"/>
      <c r="G721" s="10">
        <f>G722</f>
        <v>0</v>
      </c>
      <c r="H721" s="10">
        <f>H722</f>
        <v>0</v>
      </c>
    </row>
    <row r="722" spans="1:8" ht="15.75" hidden="1" x14ac:dyDescent="0.25">
      <c r="A722" s="45" t="s">
        <v>523</v>
      </c>
      <c r="B722" s="20" t="s">
        <v>970</v>
      </c>
      <c r="C722" s="40" t="s">
        <v>234</v>
      </c>
      <c r="D722" s="40" t="s">
        <v>213</v>
      </c>
      <c r="E722" s="40"/>
      <c r="F722" s="2"/>
      <c r="G722" s="10">
        <f>G723</f>
        <v>0</v>
      </c>
      <c r="H722" s="10">
        <f>H723</f>
        <v>0</v>
      </c>
    </row>
    <row r="723" spans="1:8" ht="31.5" hidden="1" x14ac:dyDescent="0.25">
      <c r="A723" s="31" t="s">
        <v>131</v>
      </c>
      <c r="B723" s="20" t="s">
        <v>970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0</v>
      </c>
      <c r="H723" s="10">
        <f t="shared" si="101"/>
        <v>0</v>
      </c>
    </row>
    <row r="724" spans="1:8" ht="47.25" hidden="1" x14ac:dyDescent="0.25">
      <c r="A724" s="31" t="s">
        <v>133</v>
      </c>
      <c r="B724" s="20" t="s">
        <v>970</v>
      </c>
      <c r="C724" s="40" t="s">
        <v>234</v>
      </c>
      <c r="D724" s="40" t="s">
        <v>213</v>
      </c>
      <c r="E724" s="40" t="s">
        <v>134</v>
      </c>
      <c r="F724" s="2"/>
      <c r="G724" s="10">
        <f>'пр.4.1.ведом.22-23'!G927</f>
        <v>0</v>
      </c>
      <c r="H724" s="10">
        <f>'пр.4.1.ведом.22-23'!H927</f>
        <v>0</v>
      </c>
    </row>
    <row r="725" spans="1:8" ht="47.25" hidden="1" x14ac:dyDescent="0.25">
      <c r="A725" s="45" t="s">
        <v>623</v>
      </c>
      <c r="B725" s="20" t="s">
        <v>970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0</v>
      </c>
      <c r="H725" s="6">
        <f>H724</f>
        <v>0</v>
      </c>
    </row>
    <row r="726" spans="1:8" ht="31.5" hidden="1" x14ac:dyDescent="0.25">
      <c r="A726" s="58" t="s">
        <v>968</v>
      </c>
      <c r="B726" s="24" t="s">
        <v>969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969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969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971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971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971</v>
      </c>
      <c r="C731" s="40" t="s">
        <v>234</v>
      </c>
      <c r="D731" s="40" t="s">
        <v>213</v>
      </c>
      <c r="E731" s="40" t="s">
        <v>134</v>
      </c>
      <c r="F731" s="2"/>
      <c r="G731" s="10">
        <f>'пр.4.1.ведом.22-23'!G931</f>
        <v>0</v>
      </c>
      <c r="H731" s="10">
        <f>'пр.4.1.ведом.22-23'!H931</f>
        <v>0</v>
      </c>
    </row>
    <row r="732" spans="1:8" ht="47.25" hidden="1" x14ac:dyDescent="0.25">
      <c r="A732" s="45" t="s">
        <v>623</v>
      </c>
      <c r="B732" s="20" t="s">
        <v>971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972</v>
      </c>
      <c r="B733" s="24" t="s">
        <v>973</v>
      </c>
      <c r="C733" s="40"/>
      <c r="D733" s="40"/>
      <c r="E733" s="40"/>
      <c r="F733" s="2"/>
      <c r="G733" s="59">
        <f t="shared" ref="G733:H735" si="104">G734</f>
        <v>0</v>
      </c>
      <c r="H733" s="59">
        <f t="shared" si="104"/>
        <v>0</v>
      </c>
    </row>
    <row r="734" spans="1:8" ht="15.75" hidden="1" x14ac:dyDescent="0.25">
      <c r="A734" s="29" t="s">
        <v>390</v>
      </c>
      <c r="B734" s="40" t="s">
        <v>973</v>
      </c>
      <c r="C734" s="40" t="s">
        <v>234</v>
      </c>
      <c r="D734" s="40"/>
      <c r="E734" s="73"/>
      <c r="F734" s="2"/>
      <c r="G734" s="10">
        <f t="shared" si="104"/>
        <v>0</v>
      </c>
      <c r="H734" s="10">
        <f t="shared" si="104"/>
        <v>0</v>
      </c>
    </row>
    <row r="735" spans="1:8" ht="15.75" hidden="1" x14ac:dyDescent="0.25">
      <c r="A735" s="29" t="s">
        <v>517</v>
      </c>
      <c r="B735" s="40" t="s">
        <v>973</v>
      </c>
      <c r="C735" s="40" t="s">
        <v>234</v>
      </c>
      <c r="D735" s="40" t="s">
        <v>213</v>
      </c>
      <c r="E735" s="73"/>
      <c r="F735" s="2"/>
      <c r="G735" s="10">
        <f t="shared" si="104"/>
        <v>0</v>
      </c>
      <c r="H735" s="10">
        <f t="shared" si="104"/>
        <v>0</v>
      </c>
    </row>
    <row r="736" spans="1:8" ht="31.5" hidden="1" x14ac:dyDescent="0.25">
      <c r="A736" s="45" t="s">
        <v>527</v>
      </c>
      <c r="B736" s="20" t="s">
        <v>974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0</v>
      </c>
      <c r="H736" s="10">
        <f t="shared" si="105"/>
        <v>0</v>
      </c>
    </row>
    <row r="737" spans="1:8" ht="31.5" hidden="1" x14ac:dyDescent="0.25">
      <c r="A737" s="31" t="s">
        <v>131</v>
      </c>
      <c r="B737" s="20" t="s">
        <v>974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0</v>
      </c>
      <c r="H737" s="10">
        <f t="shared" si="105"/>
        <v>0</v>
      </c>
    </row>
    <row r="738" spans="1:8" ht="47.25" hidden="1" x14ac:dyDescent="0.25">
      <c r="A738" s="31" t="s">
        <v>133</v>
      </c>
      <c r="B738" s="20" t="s">
        <v>974</v>
      </c>
      <c r="C738" s="40" t="s">
        <v>234</v>
      </c>
      <c r="D738" s="40" t="s">
        <v>213</v>
      </c>
      <c r="E738" s="40" t="s">
        <v>134</v>
      </c>
      <c r="F738" s="2"/>
      <c r="G738" s="10">
        <f>'пр.4.1.ведом.22-23'!G935</f>
        <v>0</v>
      </c>
      <c r="H738" s="10">
        <f>'пр.4.1.ведом.22-23'!H935</f>
        <v>0</v>
      </c>
    </row>
    <row r="739" spans="1:8" ht="47.25" hidden="1" x14ac:dyDescent="0.25">
      <c r="A739" s="45" t="s">
        <v>623</v>
      </c>
      <c r="B739" s="20" t="s">
        <v>974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0</v>
      </c>
      <c r="H739" s="6">
        <f>H738</f>
        <v>0</v>
      </c>
    </row>
    <row r="740" spans="1:8" ht="31.5" hidden="1" x14ac:dyDescent="0.25">
      <c r="A740" s="34" t="s">
        <v>1013</v>
      </c>
      <c r="B740" s="24" t="s">
        <v>1014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1017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1017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1017</v>
      </c>
      <c r="C745" s="40" t="s">
        <v>234</v>
      </c>
      <c r="D745" s="40" t="s">
        <v>213</v>
      </c>
      <c r="E745" s="40" t="s">
        <v>134</v>
      </c>
      <c r="F745" s="2"/>
      <c r="G745" s="10">
        <f>'пр.4.1.ведом.22-23'!G939</f>
        <v>0</v>
      </c>
      <c r="H745" s="10">
        <f>'пр.4.1.ведом.22-23'!H939</f>
        <v>0</v>
      </c>
    </row>
    <row r="746" spans="1:8" ht="47.25" hidden="1" x14ac:dyDescent="0.25">
      <c r="A746" s="45" t="s">
        <v>623</v>
      </c>
      <c r="B746" s="20" t="s">
        <v>1017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04" t="s">
        <v>1015</v>
      </c>
      <c r="B747" s="24" t="s">
        <v>1016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2" t="s">
        <v>531</v>
      </c>
      <c r="B750" s="20" t="s">
        <v>1018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1018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1018</v>
      </c>
      <c r="C752" s="40" t="s">
        <v>234</v>
      </c>
      <c r="D752" s="40" t="s">
        <v>213</v>
      </c>
      <c r="E752" s="40" t="s">
        <v>134</v>
      </c>
      <c r="F752" s="2"/>
      <c r="G752" s="10">
        <f>'пр.4.1.ведом.22-23'!G943</f>
        <v>0</v>
      </c>
      <c r="H752" s="10">
        <f>'пр.4.1.ведом.22-23'!H943</f>
        <v>0</v>
      </c>
    </row>
    <row r="753" spans="1:8" ht="47.25" hidden="1" x14ac:dyDescent="0.25">
      <c r="A753" s="45" t="s">
        <v>623</v>
      </c>
      <c r="B753" s="20" t="s">
        <v>1018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04" t="s">
        <v>976</v>
      </c>
      <c r="B754" s="24" t="s">
        <v>977</v>
      </c>
      <c r="C754" s="40"/>
      <c r="D754" s="40"/>
      <c r="E754" s="40"/>
      <c r="F754" s="2"/>
      <c r="G754" s="59">
        <f t="shared" ref="G754:H756" si="110">G755</f>
        <v>0</v>
      </c>
      <c r="H754" s="59">
        <f t="shared" si="110"/>
        <v>0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0</v>
      </c>
      <c r="H755" s="10">
        <f t="shared" si="110"/>
        <v>0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0</v>
      </c>
      <c r="H756" s="10">
        <f t="shared" si="110"/>
        <v>0</v>
      </c>
    </row>
    <row r="757" spans="1:8" ht="15.75" hidden="1" x14ac:dyDescent="0.25">
      <c r="A757" s="172" t="s">
        <v>533</v>
      </c>
      <c r="B757" s="20" t="s">
        <v>975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0</v>
      </c>
      <c r="H757" s="10">
        <f t="shared" si="111"/>
        <v>0</v>
      </c>
    </row>
    <row r="758" spans="1:8" ht="31.5" hidden="1" x14ac:dyDescent="0.3">
      <c r="A758" s="25" t="s">
        <v>131</v>
      </c>
      <c r="B758" s="20" t="s">
        <v>975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0</v>
      </c>
      <c r="H758" s="6">
        <f t="shared" si="111"/>
        <v>0</v>
      </c>
    </row>
    <row r="759" spans="1:8" ht="47.25" hidden="1" x14ac:dyDescent="0.3">
      <c r="A759" s="25" t="s">
        <v>133</v>
      </c>
      <c r="B759" s="20" t="s">
        <v>975</v>
      </c>
      <c r="C759" s="40" t="s">
        <v>234</v>
      </c>
      <c r="D759" s="40" t="s">
        <v>213</v>
      </c>
      <c r="E759" s="2">
        <v>240</v>
      </c>
      <c r="F759" s="77"/>
      <c r="G759" s="6">
        <f>'пр.4.1.ведом.22-23'!G947</f>
        <v>0</v>
      </c>
      <c r="H759" s="6">
        <f>'пр.4.1.ведом.22-23'!H947</f>
        <v>0</v>
      </c>
    </row>
    <row r="760" spans="1:8" ht="47.25" hidden="1" x14ac:dyDescent="0.25">
      <c r="A760" s="45" t="s">
        <v>623</v>
      </c>
      <c r="B760" s="20" t="s">
        <v>975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0</v>
      </c>
      <c r="H760" s="6">
        <f>H759</f>
        <v>0</v>
      </c>
    </row>
    <row r="761" spans="1:8" ht="47.25" x14ac:dyDescent="0.25">
      <c r="A761" s="23" t="s">
        <v>1348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1050</v>
      </c>
      <c r="B762" s="24" t="s">
        <v>1051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1051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1051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191" customFormat="1" ht="31.5" x14ac:dyDescent="0.25">
      <c r="A765" s="25" t="s">
        <v>336</v>
      </c>
      <c r="B765" s="20" t="s">
        <v>1052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191" customFormat="1" ht="31.5" hidden="1" x14ac:dyDescent="0.25">
      <c r="A766" s="25" t="s">
        <v>131</v>
      </c>
      <c r="B766" s="20" t="s">
        <v>1052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191" customFormat="1" ht="47.25" hidden="1" x14ac:dyDescent="0.25">
      <c r="A767" s="25" t="s">
        <v>133</v>
      </c>
      <c r="B767" s="20" t="s">
        <v>1052</v>
      </c>
      <c r="C767" s="40" t="s">
        <v>118</v>
      </c>
      <c r="D767" s="40" t="s">
        <v>140</v>
      </c>
      <c r="E767" s="2">
        <v>240</v>
      </c>
      <c r="F767" s="2"/>
      <c r="G767" s="6">
        <f>'пр.4.1.ведом.22-23'!G255</f>
        <v>0</v>
      </c>
      <c r="H767" s="6">
        <f>'пр.4.1.ведом.22-23'!H255</f>
        <v>100</v>
      </c>
    </row>
    <row r="768" spans="1:8" s="191" customFormat="1" ht="31.5" hidden="1" x14ac:dyDescent="0.25">
      <c r="A768" s="45" t="s">
        <v>403</v>
      </c>
      <c r="B768" s="20" t="s">
        <v>1052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1052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1052</v>
      </c>
      <c r="C770" s="40" t="s">
        <v>118</v>
      </c>
      <c r="D770" s="40" t="s">
        <v>140</v>
      </c>
      <c r="E770" s="2">
        <v>240</v>
      </c>
      <c r="F770" s="2"/>
      <c r="G770" s="6">
        <f>'пр.4.1.ведом.22-23'!G544</f>
        <v>0</v>
      </c>
      <c r="H770" s="6">
        <f>'пр.4.1.ведом.22-23'!H544</f>
        <v>0</v>
      </c>
    </row>
    <row r="771" spans="1:8" ht="31.5" hidden="1" x14ac:dyDescent="0.25">
      <c r="A771" s="45" t="s">
        <v>403</v>
      </c>
      <c r="B771" s="20" t="s">
        <v>1052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1052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1052</v>
      </c>
      <c r="C773" s="40" t="s">
        <v>118</v>
      </c>
      <c r="D773" s="40" t="s">
        <v>140</v>
      </c>
      <c r="E773" s="2">
        <v>240</v>
      </c>
      <c r="F773" s="2"/>
      <c r="G773" s="6">
        <f>'пр.4.1.ведом.22-23'!G763</f>
        <v>100</v>
      </c>
      <c r="H773" s="6">
        <f>'пр.4.1.ведом.22-23'!H763</f>
        <v>0</v>
      </c>
    </row>
    <row r="774" spans="1:8" ht="47.25" x14ac:dyDescent="0.25">
      <c r="A774" s="45" t="s">
        <v>480</v>
      </c>
      <c r="B774" s="20" t="s">
        <v>1052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1057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1057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1057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1057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1053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1053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1053</v>
      </c>
      <c r="C781" s="40" t="s">
        <v>118</v>
      </c>
      <c r="D781" s="40" t="s">
        <v>140</v>
      </c>
      <c r="E781" s="2">
        <v>240</v>
      </c>
      <c r="F781" s="2"/>
      <c r="G781" s="6">
        <f>'пр.4.1.ведом.22-23'!G264</f>
        <v>20</v>
      </c>
      <c r="H781" s="6">
        <f>'пр.4.1.ведом.22-23'!H264</f>
        <v>20</v>
      </c>
    </row>
    <row r="782" spans="1:8" ht="47.25" x14ac:dyDescent="0.25">
      <c r="A782" s="25" t="s">
        <v>1077</v>
      </c>
      <c r="B782" s="20" t="s">
        <v>1053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1054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1054</v>
      </c>
      <c r="C784" s="20" t="s">
        <v>118</v>
      </c>
      <c r="D784" s="20" t="s">
        <v>140</v>
      </c>
      <c r="E784" s="20" t="s">
        <v>132</v>
      </c>
      <c r="F784" s="175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1054</v>
      </c>
      <c r="C785" s="20" t="s">
        <v>118</v>
      </c>
      <c r="D785" s="20" t="s">
        <v>140</v>
      </c>
      <c r="E785" s="20" t="s">
        <v>134</v>
      </c>
      <c r="F785" s="175"/>
      <c r="G785" s="6">
        <f>'пр.4.1.ведом.22-23'!G258</f>
        <v>0</v>
      </c>
      <c r="H785" s="6">
        <f>'пр.4.1.ведом.22-23'!H258</f>
        <v>0</v>
      </c>
    </row>
    <row r="786" spans="1:8" ht="31.5" hidden="1" x14ac:dyDescent="0.25">
      <c r="A786" s="25" t="s">
        <v>403</v>
      </c>
      <c r="B786" s="20" t="s">
        <v>1054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1055</v>
      </c>
      <c r="C787" s="40" t="s">
        <v>118</v>
      </c>
      <c r="D787" s="40" t="s">
        <v>140</v>
      </c>
      <c r="E787" s="2"/>
      <c r="F787" s="175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1055</v>
      </c>
      <c r="C788" s="40" t="s">
        <v>118</v>
      </c>
      <c r="D788" s="40" t="s">
        <v>140</v>
      </c>
      <c r="E788" s="2">
        <v>200</v>
      </c>
      <c r="F788" s="175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1055</v>
      </c>
      <c r="C789" s="40" t="s">
        <v>118</v>
      </c>
      <c r="D789" s="40" t="s">
        <v>140</v>
      </c>
      <c r="E789" s="2">
        <v>240</v>
      </c>
      <c r="F789" s="175"/>
      <c r="G789" s="6">
        <f>'пр.4.1.ведом.22-23'!G261</f>
        <v>0</v>
      </c>
      <c r="H789" s="6">
        <f>'пр.4.1.ведом.22-23'!H261</f>
        <v>0</v>
      </c>
    </row>
    <row r="790" spans="1:8" ht="47.25" hidden="1" x14ac:dyDescent="0.25">
      <c r="A790" s="45" t="s">
        <v>261</v>
      </c>
      <c r="B790" s="20" t="s">
        <v>1055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1056</v>
      </c>
      <c r="C791" s="20" t="s">
        <v>118</v>
      </c>
      <c r="D791" s="20" t="s">
        <v>140</v>
      </c>
      <c r="E791" s="20"/>
      <c r="F791" s="175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1056</v>
      </c>
      <c r="C792" s="20" t="s">
        <v>118</v>
      </c>
      <c r="D792" s="20" t="s">
        <v>140</v>
      </c>
      <c r="E792" s="20" t="s">
        <v>132</v>
      </c>
      <c r="F792" s="175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1056</v>
      </c>
      <c r="C793" s="20" t="s">
        <v>118</v>
      </c>
      <c r="D793" s="20" t="s">
        <v>140</v>
      </c>
      <c r="E793" s="20" t="s">
        <v>134</v>
      </c>
      <c r="F793" s="175"/>
      <c r="G793" s="6">
        <f>'пр.4.1.ведом.22-23'!G267</f>
        <v>0</v>
      </c>
      <c r="H793" s="6">
        <f>'пр.4.1.ведом.22-23'!H267</f>
        <v>0</v>
      </c>
    </row>
    <row r="794" spans="1:8" ht="47.25" hidden="1" x14ac:dyDescent="0.25">
      <c r="A794" s="25" t="s">
        <v>1077</v>
      </c>
      <c r="B794" s="20" t="s">
        <v>1056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1351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195" t="s">
        <v>845</v>
      </c>
      <c r="B796" s="24" t="s">
        <v>851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851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851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846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846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846</v>
      </c>
      <c r="C801" s="40" t="s">
        <v>118</v>
      </c>
      <c r="D801" s="40" t="s">
        <v>140</v>
      </c>
      <c r="E801" s="2">
        <v>240</v>
      </c>
      <c r="F801" s="2"/>
      <c r="G801" s="6">
        <f>'пр.4.1.ведом.22-23'!G150</f>
        <v>28</v>
      </c>
      <c r="H801" s="6">
        <f>'пр.4.1.ведом.22-23'!H150</f>
        <v>28</v>
      </c>
    </row>
    <row r="802" spans="1:8" ht="31.5" x14ac:dyDescent="0.25">
      <c r="A802" s="29" t="s">
        <v>148</v>
      </c>
      <c r="B802" s="20" t="s">
        <v>846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846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846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846</v>
      </c>
      <c r="C805" s="40" t="s">
        <v>118</v>
      </c>
      <c r="D805" s="40" t="s">
        <v>140</v>
      </c>
      <c r="E805" s="2">
        <v>240</v>
      </c>
      <c r="F805" s="2"/>
      <c r="G805" s="6">
        <f>'пр.4.1.ведом.22-23'!G272</f>
        <v>5</v>
      </c>
      <c r="H805" s="6">
        <f>'пр.4.1.ведом.22-23'!H272</f>
        <v>5</v>
      </c>
    </row>
    <row r="806" spans="1:8" ht="47.25" x14ac:dyDescent="0.25">
      <c r="A806" s="45" t="s">
        <v>261</v>
      </c>
      <c r="B806" s="20" t="s">
        <v>846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889</v>
      </c>
      <c r="B807" s="24" t="s">
        <v>887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887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887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935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935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0" t="s">
        <v>274</v>
      </c>
      <c r="B812" s="20" t="s">
        <v>935</v>
      </c>
      <c r="C812" s="40" t="s">
        <v>264</v>
      </c>
      <c r="D812" s="40" t="s">
        <v>118</v>
      </c>
      <c r="E812" s="2">
        <v>610</v>
      </c>
      <c r="F812" s="2"/>
      <c r="G812" s="6">
        <f>'пр.4.1.ведом.22-23'!G608</f>
        <v>570.9</v>
      </c>
      <c r="H812" s="6">
        <f>'пр.4.1.ведом.22-23'!H608</f>
        <v>593.79999999999995</v>
      </c>
    </row>
    <row r="813" spans="1:8" ht="31.5" x14ac:dyDescent="0.25">
      <c r="A813" s="29" t="s">
        <v>403</v>
      </c>
      <c r="B813" s="20" t="s">
        <v>935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887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935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935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0" t="s">
        <v>274</v>
      </c>
      <c r="B817" s="20" t="s">
        <v>935</v>
      </c>
      <c r="C817" s="40" t="s">
        <v>264</v>
      </c>
      <c r="D817" s="40" t="s">
        <v>213</v>
      </c>
      <c r="E817" s="2">
        <v>610</v>
      </c>
      <c r="F817" s="2"/>
      <c r="G817" s="6">
        <f>'пр.4.1.ведом.22-23'!G690</f>
        <v>870.5</v>
      </c>
      <c r="H817" s="6">
        <f>'пр.4.1.ведом.22-23'!H690</f>
        <v>905.3</v>
      </c>
    </row>
    <row r="818" spans="1:8" ht="31.5" x14ac:dyDescent="0.25">
      <c r="A818" s="29" t="s">
        <v>403</v>
      </c>
      <c r="B818" s="20" t="s">
        <v>935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887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191" customFormat="1" ht="47.25" x14ac:dyDescent="0.25">
      <c r="A820" s="98" t="s">
        <v>1003</v>
      </c>
      <c r="B820" s="20" t="s">
        <v>888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191" customFormat="1" ht="31.5" x14ac:dyDescent="0.25">
      <c r="A821" s="25" t="s">
        <v>131</v>
      </c>
      <c r="B821" s="20" t="s">
        <v>888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191" customFormat="1" ht="47.25" x14ac:dyDescent="0.25">
      <c r="A822" s="25" t="s">
        <v>133</v>
      </c>
      <c r="B822" s="20" t="s">
        <v>888</v>
      </c>
      <c r="C822" s="40" t="s">
        <v>264</v>
      </c>
      <c r="D822" s="40" t="s">
        <v>215</v>
      </c>
      <c r="E822" s="2">
        <v>240</v>
      </c>
      <c r="F822" s="2"/>
      <c r="G822" s="6">
        <f>'пр.4.1.ведом.22-23'!G336</f>
        <v>490.2</v>
      </c>
      <c r="H822" s="6">
        <f>'пр.4.1.ведом.22-23'!H336</f>
        <v>509.8</v>
      </c>
    </row>
    <row r="823" spans="1:8" s="191" customFormat="1" ht="47.25" x14ac:dyDescent="0.25">
      <c r="A823" s="45" t="s">
        <v>261</v>
      </c>
      <c r="B823" s="20" t="s">
        <v>888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'пр.4.1.ведом.22-23'!G336</f>
        <v>490.2</v>
      </c>
      <c r="H823" s="6">
        <f>'пр.4.1.ведом.22-23'!H336</f>
        <v>509.8</v>
      </c>
    </row>
    <row r="824" spans="1:8" ht="47.25" x14ac:dyDescent="0.25">
      <c r="A824" s="45" t="s">
        <v>780</v>
      </c>
      <c r="B824" s="20" t="s">
        <v>935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935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0" t="s">
        <v>274</v>
      </c>
      <c r="B826" s="20" t="s">
        <v>935</v>
      </c>
      <c r="C826" s="40" t="s">
        <v>264</v>
      </c>
      <c r="D826" s="40" t="s">
        <v>215</v>
      </c>
      <c r="E826" s="2">
        <v>610</v>
      </c>
      <c r="F826" s="2"/>
      <c r="G826" s="6">
        <f>'пр.4.1.ведом.22-23'!G719</f>
        <v>302.7</v>
      </c>
      <c r="H826" s="6">
        <f>'пр.4.1.ведом.22-23'!H719</f>
        <v>314.89999999999998</v>
      </c>
    </row>
    <row r="827" spans="1:8" ht="31.5" x14ac:dyDescent="0.25">
      <c r="A827" s="29" t="s">
        <v>403</v>
      </c>
      <c r="B827" s="20" t="s">
        <v>935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887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887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888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888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888</v>
      </c>
      <c r="C832" s="40" t="s">
        <v>299</v>
      </c>
      <c r="D832" s="40" t="s">
        <v>118</v>
      </c>
      <c r="E832" s="2">
        <v>240</v>
      </c>
      <c r="F832" s="2"/>
      <c r="G832" s="6">
        <f>'пр.4.1.ведом.22-23'!G410</f>
        <v>878.7</v>
      </c>
      <c r="H832" s="6">
        <f>'пр.4.1.ведом.22-23'!H410</f>
        <v>913.9</v>
      </c>
    </row>
    <row r="833" spans="1:8" ht="47.25" x14ac:dyDescent="0.25">
      <c r="A833" s="45" t="s">
        <v>261</v>
      </c>
      <c r="B833" s="20" t="s">
        <v>888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887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1079</v>
      </c>
      <c r="B835" s="20" t="s">
        <v>887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935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935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0" t="s">
        <v>274</v>
      </c>
      <c r="B838" s="20" t="s">
        <v>935</v>
      </c>
      <c r="C838" s="40" t="s">
        <v>491</v>
      </c>
      <c r="D838" s="40" t="s">
        <v>118</v>
      </c>
      <c r="E838" s="2">
        <v>610</v>
      </c>
      <c r="F838" s="2"/>
      <c r="G838" s="6">
        <f>'пр.4.1.ведом.22-23'!G802</f>
        <v>579.1</v>
      </c>
      <c r="H838" s="6">
        <f>'пр.4.1.ведом.22-23'!H802</f>
        <v>602.29999999999995</v>
      </c>
    </row>
    <row r="839" spans="1:8" ht="47.25" x14ac:dyDescent="0.25">
      <c r="A839" s="45" t="s">
        <v>480</v>
      </c>
      <c r="B839" s="20" t="s">
        <v>935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887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887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888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888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888</v>
      </c>
      <c r="C844" s="40" t="s">
        <v>238</v>
      </c>
      <c r="D844" s="40" t="s">
        <v>213</v>
      </c>
      <c r="E844" s="2">
        <v>240</v>
      </c>
      <c r="F844" s="2"/>
      <c r="G844" s="6">
        <f>'пр.4.1.ведом.22-23'!G487</f>
        <v>74.900000000000006</v>
      </c>
      <c r="H844" s="6">
        <f>'пр.4.1.ведом.22-23'!H487</f>
        <v>77.900000000000006</v>
      </c>
    </row>
    <row r="845" spans="1:8" ht="47.25" x14ac:dyDescent="0.25">
      <c r="A845" s="45" t="s">
        <v>261</v>
      </c>
      <c r="B845" s="20" t="s">
        <v>888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196" t="s">
        <v>1022</v>
      </c>
      <c r="B846" s="24" t="s">
        <v>852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08" t="s">
        <v>117</v>
      </c>
      <c r="B847" s="20" t="s">
        <v>852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08" t="s">
        <v>139</v>
      </c>
      <c r="B848" s="20" t="s">
        <v>852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37" t="s">
        <v>1004</v>
      </c>
      <c r="B849" s="20" t="s">
        <v>847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847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847</v>
      </c>
      <c r="C851" s="40" t="s">
        <v>118</v>
      </c>
      <c r="D851" s="40" t="s">
        <v>140</v>
      </c>
      <c r="E851" s="2">
        <v>240</v>
      </c>
      <c r="F851" s="2"/>
      <c r="G851" s="6">
        <f>'пр.4.1.ведом.22-23'!G154</f>
        <v>15</v>
      </c>
      <c r="H851" s="6">
        <f>'пр.4.1.ведом.22-23'!H154</f>
        <v>15</v>
      </c>
    </row>
    <row r="852" spans="1:8" ht="31.5" x14ac:dyDescent="0.25">
      <c r="A852" s="29" t="s">
        <v>148</v>
      </c>
      <c r="B852" s="20" t="s">
        <v>847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1513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1067</v>
      </c>
      <c r="B854" s="24" t="s">
        <v>1088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834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834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834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834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834</v>
      </c>
      <c r="C859" s="40" t="s">
        <v>234</v>
      </c>
      <c r="D859" s="40" t="s">
        <v>215</v>
      </c>
      <c r="E859" s="2">
        <v>240</v>
      </c>
      <c r="F859" s="2"/>
      <c r="G859" s="6">
        <f>'пр.4.1.ведом.22-23'!G1002</f>
        <v>500</v>
      </c>
      <c r="H859" s="6">
        <f>'пр.4.1.ведом.22-23'!H1002</f>
        <v>500</v>
      </c>
    </row>
    <row r="860" spans="1:8" ht="47.25" x14ac:dyDescent="0.25">
      <c r="A860" s="45" t="s">
        <v>623</v>
      </c>
      <c r="B860" s="20" t="s">
        <v>834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1353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929</v>
      </c>
      <c r="B862" s="24" t="s">
        <v>1019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1019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1019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1020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1020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1020</v>
      </c>
      <c r="C867" s="40" t="s">
        <v>118</v>
      </c>
      <c r="D867" s="40" t="s">
        <v>140</v>
      </c>
      <c r="E867" s="2">
        <v>240</v>
      </c>
      <c r="F867" s="2"/>
      <c r="G867" s="6">
        <f>'пр.4.1.ведом.22-23'!G520</f>
        <v>0</v>
      </c>
      <c r="H867" s="6">
        <f>'пр.4.1.ведом.22-23'!H520</f>
        <v>0</v>
      </c>
    </row>
    <row r="868" spans="1:10" ht="47.25" hidden="1" x14ac:dyDescent="0.25">
      <c r="A868" s="45" t="s">
        <v>1384</v>
      </c>
      <c r="B868" s="20" t="s">
        <v>1020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1364</v>
      </c>
      <c r="B869" s="24" t="s">
        <v>816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197" t="s">
        <v>853</v>
      </c>
      <c r="B870" s="24" t="s">
        <v>1076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1076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1076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854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854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854</v>
      </c>
      <c r="C875" s="40" t="s">
        <v>118</v>
      </c>
      <c r="D875" s="40" t="s">
        <v>140</v>
      </c>
      <c r="E875" s="2">
        <v>240</v>
      </c>
      <c r="F875" s="2"/>
      <c r="G875" s="6">
        <f>'пр.4.1.ведом.22-23'!G159</f>
        <v>45</v>
      </c>
      <c r="H875" s="6">
        <f>'пр.4.1.ведом.22-23'!H159</f>
        <v>50</v>
      </c>
    </row>
    <row r="876" spans="1:10" ht="31.5" x14ac:dyDescent="0.25">
      <c r="A876" s="29" t="s">
        <v>148</v>
      </c>
      <c r="B876" s="20" t="s">
        <v>854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1373</v>
      </c>
      <c r="B877" s="24" t="s">
        <v>817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855</v>
      </c>
      <c r="B878" s="24" t="s">
        <v>863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863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863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856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856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856</v>
      </c>
      <c r="C883" s="40" t="s">
        <v>118</v>
      </c>
      <c r="D883" s="40" t="s">
        <v>140</v>
      </c>
      <c r="E883" s="2">
        <v>240</v>
      </c>
      <c r="F883" s="2"/>
      <c r="G883" s="6">
        <f>'пр.4.1.ведом.22-23'!G164</f>
        <v>80</v>
      </c>
      <c r="H883" s="6">
        <f>'пр.4.1.ведом.22-23'!H164</f>
        <v>90</v>
      </c>
    </row>
    <row r="884" spans="1:8" ht="31.5" x14ac:dyDescent="0.25">
      <c r="A884" s="29" t="s">
        <v>148</v>
      </c>
      <c r="B884" s="20" t="s">
        <v>856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191" customFormat="1" ht="47.25" x14ac:dyDescent="0.25">
      <c r="A885" s="23" t="s">
        <v>1511</v>
      </c>
      <c r="B885" s="24" t="s">
        <v>1139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191" customFormat="1" ht="31.5" x14ac:dyDescent="0.25">
      <c r="A886" s="23" t="s">
        <v>1515</v>
      </c>
      <c r="B886" s="24" t="s">
        <v>1141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191" customFormat="1" ht="15.75" x14ac:dyDescent="0.25">
      <c r="A887" s="29" t="s">
        <v>390</v>
      </c>
      <c r="B887" s="20" t="s">
        <v>1141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191" customFormat="1" ht="15.75" x14ac:dyDescent="0.25">
      <c r="A888" s="29" t="s">
        <v>517</v>
      </c>
      <c r="B888" s="20" t="s">
        <v>1141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191" customFormat="1" ht="31.5" x14ac:dyDescent="0.25">
      <c r="A889" s="29" t="s">
        <v>1143</v>
      </c>
      <c r="B889" s="20" t="s">
        <v>1142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191" customFormat="1" ht="31.5" x14ac:dyDescent="0.25">
      <c r="A890" s="45" t="s">
        <v>131</v>
      </c>
      <c r="B890" s="20" t="s">
        <v>1142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191" customFormat="1" ht="47.25" x14ac:dyDescent="0.25">
      <c r="A891" s="45" t="s">
        <v>133</v>
      </c>
      <c r="B891" s="20" t="s">
        <v>1142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191" customFormat="1" ht="47.25" x14ac:dyDescent="0.25">
      <c r="A892" s="45" t="s">
        <v>623</v>
      </c>
      <c r="B892" s="20" t="s">
        <v>1142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'пр.4.1.ведом.22-23'!G952</f>
        <v>204</v>
      </c>
      <c r="H892" s="6">
        <f>'пр.4.1.ведом.22-23'!H952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472942.6399999999</v>
      </c>
      <c r="H893" s="120">
        <f>H877+H869+H861+H853+H795+H761+H696+H644+H597+H464+H406+H398+H356+H344+H140+H30+H9+H711+H885</f>
        <v>499362.44999999995</v>
      </c>
    </row>
    <row r="894" spans="1:8" hidden="1" x14ac:dyDescent="0.25"/>
    <row r="895" spans="1:8" hidden="1" x14ac:dyDescent="0.25">
      <c r="G895" s="22">
        <f>'пр.4.1.ведом.22-23'!G1151</f>
        <v>473181.49999999994</v>
      </c>
      <c r="H895" s="22">
        <f>'пр.4.1.ведом.22-23'!H1151</f>
        <v>499362.45000000007</v>
      </c>
    </row>
    <row r="896" spans="1:8" hidden="1" x14ac:dyDescent="0.25"/>
    <row r="897" spans="7:8" hidden="1" x14ac:dyDescent="0.25">
      <c r="G897" s="22">
        <f>G895-G893</f>
        <v>238.86000000004424</v>
      </c>
      <c r="H897" s="22">
        <f>H895-H893</f>
        <v>0</v>
      </c>
    </row>
    <row r="898" spans="7:8" hidden="1" x14ac:dyDescent="0.25"/>
    <row r="899" spans="7:8" hidden="1" x14ac:dyDescent="0.25"/>
    <row r="900" spans="7:8" hidden="1" x14ac:dyDescent="0.25"/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topLeftCell="A31" zoomScaleNormal="100" zoomScaleSheetLayoutView="100" workbookViewId="0">
      <selection activeCell="K6" sqref="K6"/>
    </sheetView>
  </sheetViews>
  <sheetFormatPr defaultRowHeight="15" x14ac:dyDescent="0.25"/>
  <cols>
    <col min="1" max="1" width="44.28515625" customWidth="1"/>
    <col min="2" max="2" width="15.5703125" style="191" customWidth="1"/>
    <col min="3" max="3" width="7.140625" customWidth="1"/>
    <col min="4" max="4" width="6.28515625" customWidth="1"/>
    <col min="5" max="5" width="7.28515625" style="191" customWidth="1"/>
    <col min="6" max="6" width="10.140625" customWidth="1"/>
    <col min="7" max="9" width="12.5703125" style="22" customWidth="1"/>
  </cols>
  <sheetData>
    <row r="1" spans="1:9" ht="18.75" customHeight="1" x14ac:dyDescent="0.25">
      <c r="A1" s="572"/>
      <c r="B1" s="572"/>
      <c r="C1" s="572"/>
      <c r="D1" s="62"/>
      <c r="E1" s="62"/>
      <c r="H1" s="551" t="s">
        <v>616</v>
      </c>
      <c r="I1" s="551"/>
    </row>
    <row r="2" spans="1:9" ht="15.75" customHeight="1" x14ac:dyDescent="0.25">
      <c r="A2" s="572"/>
      <c r="B2" s="572"/>
      <c r="C2" s="572"/>
      <c r="D2" s="62"/>
      <c r="E2" s="62"/>
      <c r="H2" s="551" t="s">
        <v>0</v>
      </c>
      <c r="I2" s="551"/>
    </row>
    <row r="3" spans="1:9" ht="15.75" x14ac:dyDescent="0.25">
      <c r="A3" s="62"/>
      <c r="B3" s="62"/>
      <c r="C3" s="62"/>
      <c r="D3" s="62"/>
      <c r="E3" s="62"/>
      <c r="H3" s="551" t="s">
        <v>1830</v>
      </c>
      <c r="I3" s="551"/>
    </row>
    <row r="4" spans="1:9" s="191" customFormat="1" ht="15.75" x14ac:dyDescent="0.25">
      <c r="A4" s="62"/>
      <c r="B4" s="62"/>
      <c r="C4" s="62"/>
      <c r="D4" s="62"/>
      <c r="E4" s="62"/>
      <c r="F4" s="62"/>
      <c r="G4" s="249"/>
      <c r="H4" s="468"/>
      <c r="I4" s="468"/>
    </row>
    <row r="5" spans="1:9" s="191" customFormat="1" ht="15.75" x14ac:dyDescent="0.25">
      <c r="A5" s="62"/>
      <c r="B5" s="62"/>
      <c r="C5" s="62"/>
      <c r="D5" s="62"/>
      <c r="E5" s="62"/>
      <c r="F5" s="62"/>
      <c r="G5" s="249"/>
      <c r="H5" s="468"/>
      <c r="I5" s="468"/>
    </row>
    <row r="6" spans="1:9" ht="14.45" customHeight="1" x14ac:dyDescent="0.25">
      <c r="A6" s="555" t="s">
        <v>1818</v>
      </c>
      <c r="B6" s="555"/>
      <c r="C6" s="555"/>
      <c r="D6" s="555"/>
      <c r="E6" s="555"/>
      <c r="F6" s="555"/>
      <c r="G6" s="555"/>
      <c r="H6" s="555"/>
      <c r="I6" s="555"/>
    </row>
    <row r="7" spans="1:9" ht="14.45" customHeight="1" x14ac:dyDescent="0.25">
      <c r="A7" s="555"/>
      <c r="B7" s="555"/>
      <c r="C7" s="555"/>
      <c r="D7" s="555"/>
      <c r="E7" s="555"/>
      <c r="F7" s="555"/>
      <c r="G7" s="555"/>
      <c r="H7" s="555"/>
      <c r="I7" s="555"/>
    </row>
    <row r="8" spans="1:9" ht="15.75" x14ac:dyDescent="0.25">
      <c r="A8" s="62"/>
      <c r="B8" s="62"/>
      <c r="C8" s="62"/>
      <c r="D8" s="62"/>
      <c r="E8" s="62"/>
      <c r="F8" s="64"/>
      <c r="G8" s="313"/>
      <c r="H8" s="473"/>
      <c r="I8" s="473"/>
    </row>
    <row r="9" spans="1:9" ht="53.65" customHeight="1" x14ac:dyDescent="0.25">
      <c r="A9" s="66" t="s">
        <v>592</v>
      </c>
      <c r="B9" s="66" t="s">
        <v>1093</v>
      </c>
      <c r="C9" s="66" t="s">
        <v>1091</v>
      </c>
      <c r="D9" s="66" t="s">
        <v>113</v>
      </c>
      <c r="E9" s="66" t="s">
        <v>1092</v>
      </c>
      <c r="F9" s="66" t="s">
        <v>111</v>
      </c>
      <c r="G9" s="336" t="s">
        <v>1703</v>
      </c>
      <c r="H9" s="336" t="s">
        <v>1705</v>
      </c>
      <c r="I9" s="336" t="s">
        <v>1704</v>
      </c>
    </row>
    <row r="10" spans="1:9" s="191" customFormat="1" ht="33.4" customHeight="1" x14ac:dyDescent="0.25">
      <c r="A10" s="25" t="s">
        <v>246</v>
      </c>
      <c r="B10" s="392" t="s">
        <v>880</v>
      </c>
      <c r="C10" s="66"/>
      <c r="D10" s="66"/>
      <c r="E10" s="66"/>
      <c r="F10" s="66"/>
      <c r="G10" s="10">
        <f>G11</f>
        <v>11049.23</v>
      </c>
      <c r="H10" s="10">
        <f t="shared" ref="H10:H13" si="0">H11</f>
        <v>11049.155000000001</v>
      </c>
      <c r="I10" s="347">
        <f>H10/G10*100</f>
        <v>99.999321219668715</v>
      </c>
    </row>
    <row r="11" spans="1:9" s="191" customFormat="1" ht="18.399999999999999" customHeight="1" x14ac:dyDescent="0.25">
      <c r="A11" s="25" t="s">
        <v>243</v>
      </c>
      <c r="B11" s="20" t="s">
        <v>880</v>
      </c>
      <c r="C11" s="66">
        <v>10</v>
      </c>
      <c r="D11" s="66"/>
      <c r="E11" s="66"/>
      <c r="F11" s="66"/>
      <c r="G11" s="347">
        <f>G12</f>
        <v>11049.23</v>
      </c>
      <c r="H11" s="347">
        <f t="shared" si="0"/>
        <v>11049.155000000001</v>
      </c>
      <c r="I11" s="347">
        <f t="shared" ref="I11:I46" si="1">H11/G11*100</f>
        <v>99.999321219668715</v>
      </c>
    </row>
    <row r="12" spans="1:9" s="191" customFormat="1" ht="18.399999999999999" customHeight="1" x14ac:dyDescent="0.25">
      <c r="A12" s="25" t="s">
        <v>245</v>
      </c>
      <c r="B12" s="20" t="s">
        <v>880</v>
      </c>
      <c r="C12" s="66">
        <v>10</v>
      </c>
      <c r="D12" s="40" t="s">
        <v>118</v>
      </c>
      <c r="E12" s="66"/>
      <c r="F12" s="66"/>
      <c r="G12" s="347">
        <f>G13</f>
        <v>11049.23</v>
      </c>
      <c r="H12" s="347">
        <f t="shared" si="0"/>
        <v>11049.155000000001</v>
      </c>
      <c r="I12" s="347">
        <f t="shared" si="1"/>
        <v>99.999321219668715</v>
      </c>
    </row>
    <row r="13" spans="1:9" s="191" customFormat="1" ht="28.15" customHeight="1" x14ac:dyDescent="0.25">
      <c r="A13" s="29" t="s">
        <v>248</v>
      </c>
      <c r="B13" s="20" t="s">
        <v>880</v>
      </c>
      <c r="C13" s="66">
        <v>10</v>
      </c>
      <c r="D13" s="40" t="s">
        <v>118</v>
      </c>
      <c r="E13" s="66">
        <v>300</v>
      </c>
      <c r="F13" s="66"/>
      <c r="G13" s="347">
        <f>G14</f>
        <v>11049.23</v>
      </c>
      <c r="H13" s="347">
        <f t="shared" si="0"/>
        <v>11049.155000000001</v>
      </c>
      <c r="I13" s="347">
        <f t="shared" si="1"/>
        <v>99.999321219668715</v>
      </c>
    </row>
    <row r="14" spans="1:9" s="191" customFormat="1" ht="34.700000000000003" customHeight="1" x14ac:dyDescent="0.25">
      <c r="A14" s="25" t="s">
        <v>348</v>
      </c>
      <c r="B14" s="20" t="s">
        <v>880</v>
      </c>
      <c r="C14" s="66">
        <v>10</v>
      </c>
      <c r="D14" s="40" t="s">
        <v>118</v>
      </c>
      <c r="E14" s="66">
        <v>310</v>
      </c>
      <c r="F14" s="66"/>
      <c r="G14" s="347">
        <f>'Пр.4 ведом.21'!G244</f>
        <v>11049.23</v>
      </c>
      <c r="H14" s="347">
        <f>'Пр.4 ведом.21'!H244</f>
        <v>11049.155000000001</v>
      </c>
      <c r="I14" s="347">
        <f t="shared" si="1"/>
        <v>99.999321219668715</v>
      </c>
    </row>
    <row r="15" spans="1:9" s="191" customFormat="1" ht="37.35" customHeight="1" x14ac:dyDescent="0.25">
      <c r="A15" s="309" t="s">
        <v>148</v>
      </c>
      <c r="B15" s="20" t="s">
        <v>880</v>
      </c>
      <c r="C15" s="66">
        <v>10</v>
      </c>
      <c r="D15" s="40" t="s">
        <v>118</v>
      </c>
      <c r="E15" s="66">
        <v>310</v>
      </c>
      <c r="F15" s="66">
        <v>902</v>
      </c>
      <c r="G15" s="347">
        <f>G10</f>
        <v>11049.23</v>
      </c>
      <c r="H15" s="347">
        <f t="shared" ref="H15" si="2">H10</f>
        <v>11049.155000000001</v>
      </c>
      <c r="I15" s="347">
        <f t="shared" si="1"/>
        <v>99.999321219668715</v>
      </c>
    </row>
    <row r="16" spans="1:9" s="191" customFormat="1" ht="63" hidden="1" x14ac:dyDescent="0.25">
      <c r="A16" s="215" t="s">
        <v>1034</v>
      </c>
      <c r="B16" s="20" t="s">
        <v>1048</v>
      </c>
      <c r="C16" s="40"/>
      <c r="D16" s="40"/>
      <c r="E16" s="40"/>
      <c r="F16" s="5"/>
      <c r="G16" s="6">
        <f>G17</f>
        <v>0</v>
      </c>
      <c r="H16" s="389">
        <f t="shared" ref="H16:H20" si="3">H17</f>
        <v>0</v>
      </c>
      <c r="I16" s="347" t="e">
        <f t="shared" si="1"/>
        <v>#DIV/0!</v>
      </c>
    </row>
    <row r="17" spans="1:9" s="191" customFormat="1" ht="15.75" hidden="1" x14ac:dyDescent="0.25">
      <c r="A17" s="45" t="s">
        <v>263</v>
      </c>
      <c r="B17" s="20" t="s">
        <v>1048</v>
      </c>
      <c r="C17" s="40" t="s">
        <v>264</v>
      </c>
      <c r="D17" s="40"/>
      <c r="E17" s="187"/>
      <c r="F17" s="5"/>
      <c r="G17" s="6">
        <f>G18</f>
        <v>0</v>
      </c>
      <c r="H17" s="389">
        <f t="shared" si="3"/>
        <v>0</v>
      </c>
      <c r="I17" s="347" t="e">
        <f t="shared" si="1"/>
        <v>#DIV/0!</v>
      </c>
    </row>
    <row r="18" spans="1:9" s="191" customFormat="1" ht="31.5" hidden="1" x14ac:dyDescent="0.25">
      <c r="A18" s="45" t="s">
        <v>466</v>
      </c>
      <c r="B18" s="20" t="s">
        <v>1048</v>
      </c>
      <c r="C18" s="40" t="s">
        <v>264</v>
      </c>
      <c r="D18" s="40" t="s">
        <v>264</v>
      </c>
      <c r="E18" s="187"/>
      <c r="F18" s="5"/>
      <c r="G18" s="6">
        <f>G19</f>
        <v>0</v>
      </c>
      <c r="H18" s="389">
        <f t="shared" si="3"/>
        <v>0</v>
      </c>
      <c r="I18" s="347" t="e">
        <f t="shared" si="1"/>
        <v>#DIV/0!</v>
      </c>
    </row>
    <row r="19" spans="1:9" ht="31.5" hidden="1" x14ac:dyDescent="0.25">
      <c r="A19" s="29" t="s">
        <v>248</v>
      </c>
      <c r="B19" s="20" t="s">
        <v>1048</v>
      </c>
      <c r="C19" s="40" t="s">
        <v>264</v>
      </c>
      <c r="D19" s="40" t="s">
        <v>264</v>
      </c>
      <c r="E19" s="40" t="s">
        <v>249</v>
      </c>
      <c r="F19" s="5"/>
      <c r="G19" s="6">
        <f>G20</f>
        <v>0</v>
      </c>
      <c r="H19" s="389">
        <f t="shared" si="3"/>
        <v>0</v>
      </c>
      <c r="I19" s="347" t="e">
        <f t="shared" si="1"/>
        <v>#DIV/0!</v>
      </c>
    </row>
    <row r="20" spans="1:9" ht="38.1" hidden="1" customHeight="1" x14ac:dyDescent="0.25">
      <c r="A20" s="29" t="s">
        <v>1194</v>
      </c>
      <c r="B20" s="20" t="s">
        <v>1048</v>
      </c>
      <c r="C20" s="40" t="s">
        <v>264</v>
      </c>
      <c r="D20" s="40" t="s">
        <v>264</v>
      </c>
      <c r="E20" s="40" t="s">
        <v>1193</v>
      </c>
      <c r="F20" s="5"/>
      <c r="G20" s="6">
        <f>G21</f>
        <v>0</v>
      </c>
      <c r="H20" s="389">
        <f t="shared" si="3"/>
        <v>0</v>
      </c>
      <c r="I20" s="347" t="e">
        <f t="shared" si="1"/>
        <v>#DIV/0!</v>
      </c>
    </row>
    <row r="21" spans="1:9" s="191" customFormat="1" ht="46.9" hidden="1" customHeight="1" x14ac:dyDescent="0.25">
      <c r="A21" s="45" t="s">
        <v>658</v>
      </c>
      <c r="B21" s="20" t="s">
        <v>1048</v>
      </c>
      <c r="C21" s="40" t="s">
        <v>264</v>
      </c>
      <c r="D21" s="40" t="s">
        <v>264</v>
      </c>
      <c r="E21" s="40" t="s">
        <v>1193</v>
      </c>
      <c r="F21" s="5">
        <v>903</v>
      </c>
      <c r="G21" s="6"/>
      <c r="H21" s="389"/>
      <c r="I21" s="347" t="e">
        <f t="shared" si="1"/>
        <v>#DIV/0!</v>
      </c>
    </row>
    <row r="22" spans="1:9" s="191" customFormat="1" ht="18.399999999999999" customHeight="1" x14ac:dyDescent="0.25">
      <c r="A22" s="25" t="s">
        <v>1036</v>
      </c>
      <c r="B22" s="20" t="s">
        <v>907</v>
      </c>
      <c r="C22" s="40"/>
      <c r="D22" s="40"/>
      <c r="E22" s="40"/>
      <c r="F22" s="5"/>
      <c r="G22" s="6">
        <f>G23</f>
        <v>220</v>
      </c>
      <c r="H22" s="389">
        <f t="shared" ref="H22:H26" si="4">H23</f>
        <v>220</v>
      </c>
      <c r="I22" s="347">
        <f t="shared" si="1"/>
        <v>100</v>
      </c>
    </row>
    <row r="23" spans="1:9" s="191" customFormat="1" ht="20.25" customHeight="1" x14ac:dyDescent="0.25">
      <c r="A23" s="25" t="s">
        <v>1085</v>
      </c>
      <c r="B23" s="20" t="s">
        <v>907</v>
      </c>
      <c r="C23" s="40" t="s">
        <v>244</v>
      </c>
      <c r="D23" s="40"/>
      <c r="E23" s="40"/>
      <c r="F23" s="5"/>
      <c r="G23" s="6">
        <f>G24</f>
        <v>220</v>
      </c>
      <c r="H23" s="389">
        <f t="shared" si="4"/>
        <v>220</v>
      </c>
      <c r="I23" s="347">
        <f t="shared" si="1"/>
        <v>100</v>
      </c>
    </row>
    <row r="24" spans="1:9" s="191" customFormat="1" ht="19.7" customHeight="1" x14ac:dyDescent="0.25">
      <c r="A24" s="29" t="s">
        <v>252</v>
      </c>
      <c r="B24" s="20" t="s">
        <v>907</v>
      </c>
      <c r="C24" s="40" t="s">
        <v>244</v>
      </c>
      <c r="D24" s="40" t="s">
        <v>215</v>
      </c>
      <c r="E24" s="40"/>
      <c r="F24" s="5"/>
      <c r="G24" s="6">
        <f>G25</f>
        <v>220</v>
      </c>
      <c r="H24" s="389">
        <f t="shared" si="4"/>
        <v>220</v>
      </c>
      <c r="I24" s="347">
        <f t="shared" si="1"/>
        <v>100</v>
      </c>
    </row>
    <row r="25" spans="1:9" s="191" customFormat="1" ht="33.75" customHeight="1" x14ac:dyDescent="0.25">
      <c r="A25" s="25" t="s">
        <v>248</v>
      </c>
      <c r="B25" s="20" t="s">
        <v>907</v>
      </c>
      <c r="C25" s="40" t="s">
        <v>244</v>
      </c>
      <c r="D25" s="40" t="s">
        <v>215</v>
      </c>
      <c r="E25" s="40" t="s">
        <v>249</v>
      </c>
      <c r="F25" s="5"/>
      <c r="G25" s="6">
        <f>G26</f>
        <v>220</v>
      </c>
      <c r="H25" s="389">
        <f t="shared" si="4"/>
        <v>220</v>
      </c>
      <c r="I25" s="347">
        <f t="shared" si="1"/>
        <v>100</v>
      </c>
    </row>
    <row r="26" spans="1:9" s="191" customFormat="1" ht="31.9" customHeight="1" x14ac:dyDescent="0.25">
      <c r="A26" s="25" t="s">
        <v>348</v>
      </c>
      <c r="B26" s="20" t="s">
        <v>907</v>
      </c>
      <c r="C26" s="40" t="s">
        <v>244</v>
      </c>
      <c r="D26" s="40" t="s">
        <v>215</v>
      </c>
      <c r="E26" s="40" t="s">
        <v>349</v>
      </c>
      <c r="F26" s="5"/>
      <c r="G26" s="6">
        <f>G27</f>
        <v>220</v>
      </c>
      <c r="H26" s="389">
        <f t="shared" si="4"/>
        <v>220</v>
      </c>
      <c r="I26" s="347">
        <f t="shared" si="1"/>
        <v>100</v>
      </c>
    </row>
    <row r="27" spans="1:9" s="191" customFormat="1" ht="55.7" customHeight="1" x14ac:dyDescent="0.25">
      <c r="A27" s="45" t="s">
        <v>658</v>
      </c>
      <c r="B27" s="20" t="s">
        <v>907</v>
      </c>
      <c r="C27" s="40" t="s">
        <v>244</v>
      </c>
      <c r="D27" s="40" t="s">
        <v>215</v>
      </c>
      <c r="E27" s="40" t="s">
        <v>349</v>
      </c>
      <c r="F27" s="5">
        <v>903</v>
      </c>
      <c r="G27" s="6">
        <f>'Пр.4 ведом.21'!G527</f>
        <v>220</v>
      </c>
      <c r="H27" s="389">
        <f>'Пр.4 ведом.21'!H527</f>
        <v>220</v>
      </c>
      <c r="I27" s="347">
        <f t="shared" si="1"/>
        <v>100</v>
      </c>
    </row>
    <row r="28" spans="1:9" s="191" customFormat="1" ht="61.15" customHeight="1" x14ac:dyDescent="0.25">
      <c r="A28" s="98" t="s">
        <v>1039</v>
      </c>
      <c r="B28" s="20" t="s">
        <v>909</v>
      </c>
      <c r="C28" s="40"/>
      <c r="D28" s="40"/>
      <c r="E28" s="40"/>
      <c r="F28" s="5"/>
      <c r="G28" s="6">
        <f>G29</f>
        <v>497.99999999999994</v>
      </c>
      <c r="H28" s="389">
        <f t="shared" ref="H28:H32" si="5">H29</f>
        <v>497.95</v>
      </c>
      <c r="I28" s="347">
        <f t="shared" si="1"/>
        <v>99.989959839357439</v>
      </c>
    </row>
    <row r="29" spans="1:9" ht="15.75" x14ac:dyDescent="0.25">
      <c r="A29" s="80" t="s">
        <v>243</v>
      </c>
      <c r="B29" s="20" t="s">
        <v>909</v>
      </c>
      <c r="C29" s="9" t="s">
        <v>244</v>
      </c>
      <c r="D29" s="9"/>
      <c r="E29" s="9"/>
      <c r="F29" s="9"/>
      <c r="G29" s="10">
        <f>G30</f>
        <v>497.99999999999994</v>
      </c>
      <c r="H29" s="10">
        <f t="shared" si="5"/>
        <v>497.95</v>
      </c>
      <c r="I29" s="347">
        <f t="shared" si="1"/>
        <v>99.989959839357439</v>
      </c>
    </row>
    <row r="30" spans="1:9" ht="19.149999999999999" customHeight="1" x14ac:dyDescent="0.25">
      <c r="A30" s="29" t="s">
        <v>252</v>
      </c>
      <c r="B30" s="20" t="s">
        <v>909</v>
      </c>
      <c r="C30" s="40" t="s">
        <v>244</v>
      </c>
      <c r="D30" s="40" t="s">
        <v>215</v>
      </c>
      <c r="E30" s="40"/>
      <c r="F30" s="5"/>
      <c r="G30" s="6">
        <f>G31</f>
        <v>497.99999999999994</v>
      </c>
      <c r="H30" s="389">
        <f t="shared" si="5"/>
        <v>497.95</v>
      </c>
      <c r="I30" s="347">
        <f t="shared" si="1"/>
        <v>99.989959839357439</v>
      </c>
    </row>
    <row r="31" spans="1:9" ht="31.5" x14ac:dyDescent="0.25">
      <c r="A31" s="29" t="s">
        <v>248</v>
      </c>
      <c r="B31" s="20" t="s">
        <v>909</v>
      </c>
      <c r="C31" s="40" t="s">
        <v>244</v>
      </c>
      <c r="D31" s="40" t="s">
        <v>215</v>
      </c>
      <c r="E31" s="40" t="s">
        <v>249</v>
      </c>
      <c r="F31" s="5"/>
      <c r="G31" s="6">
        <f>G32</f>
        <v>497.99999999999994</v>
      </c>
      <c r="H31" s="389">
        <f t="shared" si="5"/>
        <v>497.95</v>
      </c>
      <c r="I31" s="347">
        <f t="shared" si="1"/>
        <v>99.989959839357439</v>
      </c>
    </row>
    <row r="32" spans="1:9" ht="31.5" x14ac:dyDescent="0.25">
      <c r="A32" s="29" t="s">
        <v>348</v>
      </c>
      <c r="B32" s="20" t="s">
        <v>909</v>
      </c>
      <c r="C32" s="40" t="s">
        <v>244</v>
      </c>
      <c r="D32" s="40" t="s">
        <v>215</v>
      </c>
      <c r="E32" s="81" t="s">
        <v>349</v>
      </c>
      <c r="F32" s="5"/>
      <c r="G32" s="6">
        <f>G33</f>
        <v>497.99999999999994</v>
      </c>
      <c r="H32" s="389">
        <f t="shared" si="5"/>
        <v>497.95</v>
      </c>
      <c r="I32" s="347">
        <f t="shared" si="1"/>
        <v>99.989959839357439</v>
      </c>
    </row>
    <row r="33" spans="1:9" s="191" customFormat="1" ht="46.9" customHeight="1" x14ac:dyDescent="0.25">
      <c r="A33" s="45" t="s">
        <v>658</v>
      </c>
      <c r="B33" s="20" t="s">
        <v>909</v>
      </c>
      <c r="C33" s="40" t="s">
        <v>244</v>
      </c>
      <c r="D33" s="40" t="s">
        <v>215</v>
      </c>
      <c r="E33" s="81" t="s">
        <v>349</v>
      </c>
      <c r="F33" s="5">
        <v>903</v>
      </c>
      <c r="G33" s="6">
        <f>'Пр.4 ведом.21'!G517</f>
        <v>497.99999999999994</v>
      </c>
      <c r="H33" s="389">
        <f>'Пр.4 ведом.21'!H517</f>
        <v>497.95</v>
      </c>
      <c r="I33" s="347">
        <f t="shared" si="1"/>
        <v>99.989959839357439</v>
      </c>
    </row>
    <row r="34" spans="1:9" ht="31.5" x14ac:dyDescent="0.25">
      <c r="A34" s="25" t="s">
        <v>997</v>
      </c>
      <c r="B34" s="20" t="s">
        <v>910</v>
      </c>
      <c r="C34" s="40"/>
      <c r="D34" s="40"/>
      <c r="E34" s="40"/>
      <c r="F34" s="5"/>
      <c r="G34" s="6">
        <f>G35</f>
        <v>205</v>
      </c>
      <c r="H34" s="389">
        <f t="shared" ref="H34:H38" si="6">H35</f>
        <v>205</v>
      </c>
      <c r="I34" s="347">
        <f t="shared" si="1"/>
        <v>100</v>
      </c>
    </row>
    <row r="35" spans="1:9" s="191" customFormat="1" ht="15.75" x14ac:dyDescent="0.25">
      <c r="A35" s="80" t="s">
        <v>243</v>
      </c>
      <c r="B35" s="20" t="s">
        <v>910</v>
      </c>
      <c r="C35" s="40" t="s">
        <v>244</v>
      </c>
      <c r="D35" s="40"/>
      <c r="E35" s="40"/>
      <c r="F35" s="5"/>
      <c r="G35" s="6">
        <f>G36</f>
        <v>205</v>
      </c>
      <c r="H35" s="389">
        <f t="shared" si="6"/>
        <v>205</v>
      </c>
      <c r="I35" s="347">
        <f t="shared" si="1"/>
        <v>100</v>
      </c>
    </row>
    <row r="36" spans="1:9" ht="17.649999999999999" customHeight="1" x14ac:dyDescent="0.25">
      <c r="A36" s="29" t="s">
        <v>252</v>
      </c>
      <c r="B36" s="20" t="s">
        <v>910</v>
      </c>
      <c r="C36" s="40" t="s">
        <v>244</v>
      </c>
      <c r="D36" s="40" t="s">
        <v>215</v>
      </c>
      <c r="E36" s="40"/>
      <c r="F36" s="5"/>
      <c r="G36" s="6">
        <f>G37</f>
        <v>205</v>
      </c>
      <c r="H36" s="389">
        <f t="shared" si="6"/>
        <v>205</v>
      </c>
      <c r="I36" s="347">
        <f t="shared" si="1"/>
        <v>100</v>
      </c>
    </row>
    <row r="37" spans="1:9" ht="31.5" x14ac:dyDescent="0.25">
      <c r="A37" s="29" t="s">
        <v>248</v>
      </c>
      <c r="B37" s="20" t="s">
        <v>910</v>
      </c>
      <c r="C37" s="40" t="s">
        <v>244</v>
      </c>
      <c r="D37" s="40" t="s">
        <v>215</v>
      </c>
      <c r="E37" s="40" t="s">
        <v>249</v>
      </c>
      <c r="F37" s="5"/>
      <c r="G37" s="6">
        <f>G38</f>
        <v>205</v>
      </c>
      <c r="H37" s="389">
        <f t="shared" si="6"/>
        <v>205</v>
      </c>
      <c r="I37" s="347">
        <f t="shared" si="1"/>
        <v>100</v>
      </c>
    </row>
    <row r="38" spans="1:9" ht="31.5" x14ac:dyDescent="0.25">
      <c r="A38" s="29" t="s">
        <v>348</v>
      </c>
      <c r="B38" s="20" t="s">
        <v>910</v>
      </c>
      <c r="C38" s="40" t="s">
        <v>244</v>
      </c>
      <c r="D38" s="40" t="s">
        <v>215</v>
      </c>
      <c r="E38" s="40" t="s">
        <v>349</v>
      </c>
      <c r="F38" s="5"/>
      <c r="G38" s="6">
        <f>G39</f>
        <v>205</v>
      </c>
      <c r="H38" s="389">
        <f t="shared" si="6"/>
        <v>205</v>
      </c>
      <c r="I38" s="347">
        <f t="shared" si="1"/>
        <v>100</v>
      </c>
    </row>
    <row r="39" spans="1:9" s="191" customFormat="1" ht="57.2" customHeight="1" x14ac:dyDescent="0.25">
      <c r="A39" s="45" t="s">
        <v>658</v>
      </c>
      <c r="B39" s="20" t="s">
        <v>910</v>
      </c>
      <c r="C39" s="40" t="s">
        <v>244</v>
      </c>
      <c r="D39" s="40" t="s">
        <v>215</v>
      </c>
      <c r="E39" s="40" t="s">
        <v>349</v>
      </c>
      <c r="F39" s="5">
        <v>903</v>
      </c>
      <c r="G39" s="6">
        <f>'Пр.4 ведом.21'!G523</f>
        <v>205</v>
      </c>
      <c r="H39" s="389">
        <f>'Пр.4 ведом.21'!H523</f>
        <v>205</v>
      </c>
      <c r="I39" s="347">
        <f t="shared" si="1"/>
        <v>100</v>
      </c>
    </row>
    <row r="40" spans="1:9" s="191" customFormat="1" ht="63" hidden="1" x14ac:dyDescent="0.25">
      <c r="A40" s="25" t="s">
        <v>1040</v>
      </c>
      <c r="B40" s="20" t="s">
        <v>911</v>
      </c>
      <c r="C40" s="40"/>
      <c r="D40" s="40"/>
      <c r="E40" s="40"/>
      <c r="F40" s="5"/>
      <c r="G40" s="6">
        <f>G41</f>
        <v>0</v>
      </c>
      <c r="H40" s="389">
        <f t="shared" ref="H40:H43" si="7">H41</f>
        <v>0</v>
      </c>
      <c r="I40" s="347" t="e">
        <f t="shared" si="1"/>
        <v>#DIV/0!</v>
      </c>
    </row>
    <row r="41" spans="1:9" s="191" customFormat="1" ht="15.75" hidden="1" x14ac:dyDescent="0.25">
      <c r="A41" s="80" t="s">
        <v>243</v>
      </c>
      <c r="B41" s="20" t="s">
        <v>911</v>
      </c>
      <c r="C41" s="40" t="s">
        <v>244</v>
      </c>
      <c r="D41" s="40"/>
      <c r="E41" s="40"/>
      <c r="F41" s="5"/>
      <c r="G41" s="6">
        <f>G42</f>
        <v>0</v>
      </c>
      <c r="H41" s="389">
        <f t="shared" si="7"/>
        <v>0</v>
      </c>
      <c r="I41" s="347" t="e">
        <f t="shared" si="1"/>
        <v>#DIV/0!</v>
      </c>
    </row>
    <row r="42" spans="1:9" ht="15.75" hidden="1" x14ac:dyDescent="0.25">
      <c r="A42" s="29" t="s">
        <v>252</v>
      </c>
      <c r="B42" s="20" t="s">
        <v>911</v>
      </c>
      <c r="C42" s="40" t="s">
        <v>244</v>
      </c>
      <c r="D42" s="40" t="s">
        <v>215</v>
      </c>
      <c r="E42" s="40"/>
      <c r="F42" s="5">
        <v>903</v>
      </c>
      <c r="G42" s="6">
        <f>G43</f>
        <v>0</v>
      </c>
      <c r="H42" s="389">
        <f t="shared" si="7"/>
        <v>0</v>
      </c>
      <c r="I42" s="347" t="e">
        <f t="shared" si="1"/>
        <v>#DIV/0!</v>
      </c>
    </row>
    <row r="43" spans="1:9" ht="31.5" hidden="1" x14ac:dyDescent="0.25">
      <c r="A43" s="29" t="s">
        <v>248</v>
      </c>
      <c r="B43" s="20" t="s">
        <v>911</v>
      </c>
      <c r="C43" s="40" t="s">
        <v>244</v>
      </c>
      <c r="D43" s="40" t="s">
        <v>215</v>
      </c>
      <c r="E43" s="40" t="s">
        <v>249</v>
      </c>
      <c r="F43" s="5">
        <v>903</v>
      </c>
      <c r="G43" s="6">
        <f>G44</f>
        <v>0</v>
      </c>
      <c r="H43" s="389">
        <f t="shared" si="7"/>
        <v>0</v>
      </c>
      <c r="I43" s="347" t="e">
        <f t="shared" si="1"/>
        <v>#DIV/0!</v>
      </c>
    </row>
    <row r="44" spans="1:9" ht="31.5" hidden="1" x14ac:dyDescent="0.25">
      <c r="A44" s="29" t="s">
        <v>348</v>
      </c>
      <c r="B44" s="20" t="s">
        <v>911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389"/>
      <c r="I44" s="347" t="e">
        <f t="shared" si="1"/>
        <v>#DIV/0!</v>
      </c>
    </row>
    <row r="45" spans="1:9" s="191" customFormat="1" ht="47.25" hidden="1" x14ac:dyDescent="0.25">
      <c r="A45" s="45" t="s">
        <v>658</v>
      </c>
      <c r="B45" s="20" t="s">
        <v>911</v>
      </c>
      <c r="C45" s="40" t="s">
        <v>244</v>
      </c>
      <c r="D45" s="40" t="s">
        <v>215</v>
      </c>
      <c r="E45" s="40" t="s">
        <v>349</v>
      </c>
      <c r="F45" s="5">
        <v>903</v>
      </c>
      <c r="G45" s="6"/>
      <c r="H45" s="389"/>
      <c r="I45" s="347" t="e">
        <f t="shared" si="1"/>
        <v>#DIV/0!</v>
      </c>
    </row>
    <row r="46" spans="1:9" ht="15.75" x14ac:dyDescent="0.25">
      <c r="A46" s="41" t="s">
        <v>657</v>
      </c>
      <c r="B46" s="223"/>
      <c r="C46" s="223"/>
      <c r="D46" s="223"/>
      <c r="E46" s="223"/>
      <c r="F46" s="41"/>
      <c r="G46" s="59">
        <f>G16+G22+G28+G34+G40+G10</f>
        <v>11972.23</v>
      </c>
      <c r="H46" s="59">
        <f t="shared" ref="H46" si="8">H16+H22+H28+H34+H40+H10</f>
        <v>11972.105000000001</v>
      </c>
      <c r="I46" s="59">
        <f t="shared" si="1"/>
        <v>99.998955917151619</v>
      </c>
    </row>
  </sheetData>
  <mergeCells count="5">
    <mergeCell ref="A1:C2"/>
    <mergeCell ref="H2:I2"/>
    <mergeCell ref="H1:I1"/>
    <mergeCell ref="H3:I3"/>
    <mergeCell ref="A6:I7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572"/>
      <c r="B1" s="572"/>
      <c r="C1" s="572"/>
      <c r="D1" s="62"/>
      <c r="E1" s="62"/>
      <c r="F1" s="192"/>
      <c r="G1" s="574" t="s">
        <v>1691</v>
      </c>
      <c r="H1" s="574"/>
      <c r="I1" s="192"/>
    </row>
    <row r="2" spans="1:9" ht="15.75" x14ac:dyDescent="0.25">
      <c r="A2" s="572"/>
      <c r="B2" s="572"/>
      <c r="C2" s="572"/>
      <c r="D2" s="62"/>
      <c r="E2" s="62"/>
      <c r="F2" s="192"/>
      <c r="G2" s="574" t="s">
        <v>0</v>
      </c>
      <c r="H2" s="574"/>
      <c r="I2" s="192"/>
    </row>
    <row r="3" spans="1:9" ht="15.75" x14ac:dyDescent="0.25">
      <c r="A3" s="62"/>
      <c r="B3" s="62"/>
      <c r="C3" s="62"/>
      <c r="D3" s="62"/>
      <c r="E3" s="62"/>
      <c r="F3" s="62"/>
      <c r="G3" s="573" t="s">
        <v>1694</v>
      </c>
      <c r="H3" s="573"/>
      <c r="I3" s="192"/>
    </row>
    <row r="4" spans="1:9" s="191" customFormat="1" ht="15.75" x14ac:dyDescent="0.25">
      <c r="A4" s="62"/>
      <c r="B4" s="62"/>
      <c r="C4" s="62"/>
      <c r="D4" s="62"/>
      <c r="E4" s="62"/>
      <c r="F4" s="62"/>
      <c r="G4" s="62"/>
      <c r="H4" s="129"/>
      <c r="I4" s="192"/>
    </row>
    <row r="5" spans="1:9" ht="39.200000000000003" customHeight="1" x14ac:dyDescent="0.25">
      <c r="A5" s="555" t="s">
        <v>1441</v>
      </c>
      <c r="B5" s="555"/>
      <c r="C5" s="555"/>
      <c r="D5" s="555"/>
      <c r="E5" s="555"/>
      <c r="F5" s="555"/>
      <c r="G5" s="555"/>
      <c r="H5" s="555"/>
      <c r="I5" s="192"/>
    </row>
    <row r="6" spans="1:9" ht="16.5" x14ac:dyDescent="0.25">
      <c r="A6" s="222"/>
      <c r="B6" s="222"/>
      <c r="C6" s="222"/>
      <c r="D6" s="222"/>
      <c r="E6" s="222"/>
      <c r="F6" s="222"/>
      <c r="G6" s="222"/>
      <c r="H6" s="192"/>
      <c r="I6" s="192"/>
    </row>
    <row r="7" spans="1:9" ht="15.75" x14ac:dyDescent="0.25">
      <c r="A7" s="62"/>
      <c r="B7" s="62"/>
      <c r="C7" s="62"/>
      <c r="D7" s="62"/>
      <c r="E7" s="62"/>
      <c r="F7" s="64"/>
      <c r="G7" s="192"/>
      <c r="H7" s="65" t="s">
        <v>1</v>
      </c>
      <c r="I7" s="192"/>
    </row>
    <row r="8" spans="1:9" ht="47.25" x14ac:dyDescent="0.25">
      <c r="A8" s="66" t="s">
        <v>592</v>
      </c>
      <c r="B8" s="66" t="s">
        <v>1093</v>
      </c>
      <c r="C8" s="66" t="s">
        <v>1091</v>
      </c>
      <c r="D8" s="66" t="s">
        <v>113</v>
      </c>
      <c r="E8" s="66" t="s">
        <v>1092</v>
      </c>
      <c r="F8" s="66" t="s">
        <v>111</v>
      </c>
      <c r="G8" s="66" t="s">
        <v>1027</v>
      </c>
      <c r="H8" s="66" t="s">
        <v>1288</v>
      </c>
      <c r="I8" s="192"/>
    </row>
    <row r="9" spans="1:9" ht="68.25" hidden="1" customHeight="1" x14ac:dyDescent="0.25">
      <c r="A9" s="215" t="s">
        <v>1034</v>
      </c>
      <c r="B9" s="20" t="s">
        <v>1048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192"/>
    </row>
    <row r="10" spans="1:9" ht="15.75" hidden="1" x14ac:dyDescent="0.25">
      <c r="A10" s="45" t="s">
        <v>263</v>
      </c>
      <c r="B10" s="20" t="s">
        <v>1048</v>
      </c>
      <c r="C10" s="40" t="s">
        <v>264</v>
      </c>
      <c r="D10" s="40"/>
      <c r="E10" s="187"/>
      <c r="F10" s="5"/>
      <c r="G10" s="6">
        <f t="shared" si="0"/>
        <v>0</v>
      </c>
      <c r="H10" s="6">
        <f t="shared" si="0"/>
        <v>0</v>
      </c>
      <c r="I10" s="192"/>
    </row>
    <row r="11" spans="1:9" ht="31.5" hidden="1" x14ac:dyDescent="0.25">
      <c r="A11" s="45" t="s">
        <v>466</v>
      </c>
      <c r="B11" s="20" t="s">
        <v>1048</v>
      </c>
      <c r="C11" s="40" t="s">
        <v>264</v>
      </c>
      <c r="D11" s="40" t="s">
        <v>264</v>
      </c>
      <c r="E11" s="187"/>
      <c r="F11" s="5"/>
      <c r="G11" s="6">
        <f t="shared" si="0"/>
        <v>0</v>
      </c>
      <c r="H11" s="6">
        <f t="shared" si="0"/>
        <v>0</v>
      </c>
      <c r="I11" s="192"/>
    </row>
    <row r="12" spans="1:9" ht="31.5" hidden="1" x14ac:dyDescent="0.25">
      <c r="A12" s="29" t="s">
        <v>248</v>
      </c>
      <c r="B12" s="20" t="s">
        <v>1048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192"/>
    </row>
    <row r="13" spans="1:9" ht="31.5" hidden="1" x14ac:dyDescent="0.25">
      <c r="A13" s="29" t="s">
        <v>348</v>
      </c>
      <c r="B13" s="20" t="s">
        <v>1048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192"/>
    </row>
    <row r="14" spans="1:9" ht="47.25" hidden="1" x14ac:dyDescent="0.25">
      <c r="A14" s="45" t="s">
        <v>658</v>
      </c>
      <c r="B14" s="20" t="s">
        <v>1048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192"/>
    </row>
    <row r="15" spans="1:9" s="191" customFormat="1" ht="31.5" x14ac:dyDescent="0.25">
      <c r="A15" s="25" t="s">
        <v>246</v>
      </c>
      <c r="B15" s="20" t="s">
        <v>880</v>
      </c>
      <c r="C15" s="66"/>
      <c r="D15" s="66"/>
      <c r="E15" s="66"/>
      <c r="F15" s="66"/>
      <c r="G15" s="310">
        <f t="shared" ref="G15:H18" si="1">G16</f>
        <v>9815.2999999999993</v>
      </c>
      <c r="H15" s="310">
        <f t="shared" si="1"/>
        <v>9815.2999999999993</v>
      </c>
      <c r="I15" s="192"/>
    </row>
    <row r="16" spans="1:9" s="191" customFormat="1" ht="15.75" x14ac:dyDescent="0.25">
      <c r="A16" s="25" t="s">
        <v>243</v>
      </c>
      <c r="B16" s="20" t="s">
        <v>880</v>
      </c>
      <c r="C16" s="66">
        <v>10</v>
      </c>
      <c r="D16" s="66"/>
      <c r="E16" s="66"/>
      <c r="F16" s="66"/>
      <c r="G16" s="310">
        <f t="shared" si="1"/>
        <v>9815.2999999999993</v>
      </c>
      <c r="H16" s="310">
        <f t="shared" si="1"/>
        <v>9815.2999999999993</v>
      </c>
      <c r="I16" s="192"/>
    </row>
    <row r="17" spans="1:9" s="191" customFormat="1" ht="15.75" x14ac:dyDescent="0.25">
      <c r="A17" s="25" t="s">
        <v>245</v>
      </c>
      <c r="B17" s="20" t="s">
        <v>880</v>
      </c>
      <c r="C17" s="66">
        <v>10</v>
      </c>
      <c r="D17" s="40" t="s">
        <v>118</v>
      </c>
      <c r="E17" s="66"/>
      <c r="F17" s="66"/>
      <c r="G17" s="310">
        <f t="shared" si="1"/>
        <v>9815.2999999999993</v>
      </c>
      <c r="H17" s="310">
        <f t="shared" si="1"/>
        <v>9815.2999999999993</v>
      </c>
      <c r="I17" s="192"/>
    </row>
    <row r="18" spans="1:9" s="191" customFormat="1" ht="31.5" x14ac:dyDescent="0.25">
      <c r="A18" s="29" t="s">
        <v>248</v>
      </c>
      <c r="B18" s="20" t="s">
        <v>880</v>
      </c>
      <c r="C18" s="66">
        <v>10</v>
      </c>
      <c r="D18" s="40" t="s">
        <v>118</v>
      </c>
      <c r="E18" s="66">
        <v>300</v>
      </c>
      <c r="F18" s="66"/>
      <c r="G18" s="310">
        <f t="shared" si="1"/>
        <v>9815.2999999999993</v>
      </c>
      <c r="H18" s="310">
        <f t="shared" si="1"/>
        <v>9815.2999999999993</v>
      </c>
      <c r="I18" s="192"/>
    </row>
    <row r="19" spans="1:9" s="191" customFormat="1" ht="31.5" x14ac:dyDescent="0.25">
      <c r="A19" s="25" t="s">
        <v>348</v>
      </c>
      <c r="B19" s="20" t="s">
        <v>880</v>
      </c>
      <c r="C19" s="66">
        <v>10</v>
      </c>
      <c r="D19" s="40" t="s">
        <v>118</v>
      </c>
      <c r="E19" s="66">
        <v>310</v>
      </c>
      <c r="F19" s="66"/>
      <c r="G19" s="310">
        <f>'пр.4.1.ведом.22-23'!G224</f>
        <v>9815.2999999999993</v>
      </c>
      <c r="H19" s="310">
        <f>'пр.4.1.ведом.22-23'!H224</f>
        <v>9815.2999999999993</v>
      </c>
      <c r="I19" s="192"/>
    </row>
    <row r="20" spans="1:9" s="191" customFormat="1" ht="31.5" x14ac:dyDescent="0.25">
      <c r="A20" s="309" t="s">
        <v>148</v>
      </c>
      <c r="B20" s="20" t="s">
        <v>880</v>
      </c>
      <c r="C20" s="66">
        <v>10</v>
      </c>
      <c r="D20" s="40" t="s">
        <v>118</v>
      </c>
      <c r="E20" s="66">
        <v>310</v>
      </c>
      <c r="F20" s="66">
        <v>902</v>
      </c>
      <c r="G20" s="310">
        <f>G15</f>
        <v>9815.2999999999993</v>
      </c>
      <c r="H20" s="6">
        <f>'пр.4.1.ведом.22-23'!H224</f>
        <v>9815.2999999999993</v>
      </c>
      <c r="I20" s="192"/>
    </row>
    <row r="21" spans="1:9" ht="31.5" x14ac:dyDescent="0.25">
      <c r="A21" s="25" t="s">
        <v>1036</v>
      </c>
      <c r="B21" s="20" t="s">
        <v>907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192"/>
    </row>
    <row r="22" spans="1:9" ht="15.75" x14ac:dyDescent="0.25">
      <c r="A22" s="25" t="s">
        <v>1085</v>
      </c>
      <c r="B22" s="20" t="s">
        <v>907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192"/>
    </row>
    <row r="23" spans="1:9" ht="15.75" x14ac:dyDescent="0.25">
      <c r="A23" s="29" t="s">
        <v>252</v>
      </c>
      <c r="B23" s="20" t="s">
        <v>907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192"/>
    </row>
    <row r="24" spans="1:9" ht="31.5" x14ac:dyDescent="0.25">
      <c r="A24" s="25" t="s">
        <v>248</v>
      </c>
      <c r="B24" s="20" t="s">
        <v>907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192"/>
    </row>
    <row r="25" spans="1:9" ht="31.5" x14ac:dyDescent="0.25">
      <c r="A25" s="25" t="s">
        <v>348</v>
      </c>
      <c r="B25" s="20" t="s">
        <v>907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192"/>
    </row>
    <row r="26" spans="1:9" ht="47.25" x14ac:dyDescent="0.25">
      <c r="A26" s="45" t="s">
        <v>658</v>
      </c>
      <c r="B26" s="20" t="s">
        <v>907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'пр.4.1.ведом.22-23'!G467</f>
        <v>420</v>
      </c>
      <c r="H26" s="6">
        <f>'пр.4.1.ведом.22-23'!H467</f>
        <v>450</v>
      </c>
      <c r="I26" s="192"/>
    </row>
    <row r="27" spans="1:9" ht="63" x14ac:dyDescent="0.25">
      <c r="A27" s="98" t="s">
        <v>1039</v>
      </c>
      <c r="B27" s="20" t="s">
        <v>909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192"/>
    </row>
    <row r="28" spans="1:9" ht="15.75" x14ac:dyDescent="0.25">
      <c r="A28" s="80" t="s">
        <v>243</v>
      </c>
      <c r="B28" s="20" t="s">
        <v>909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192"/>
    </row>
    <row r="29" spans="1:9" ht="15.75" x14ac:dyDescent="0.25">
      <c r="A29" s="29" t="s">
        <v>252</v>
      </c>
      <c r="B29" s="20" t="s">
        <v>909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192"/>
    </row>
    <row r="30" spans="1:9" ht="31.5" x14ac:dyDescent="0.25">
      <c r="A30" s="29" t="s">
        <v>248</v>
      </c>
      <c r="B30" s="20" t="s">
        <v>909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192"/>
    </row>
    <row r="31" spans="1:9" ht="31.5" x14ac:dyDescent="0.25">
      <c r="A31" s="29" t="s">
        <v>348</v>
      </c>
      <c r="B31" s="20" t="s">
        <v>909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192"/>
    </row>
    <row r="32" spans="1:9" ht="47.25" x14ac:dyDescent="0.25">
      <c r="A32" s="45" t="s">
        <v>658</v>
      </c>
      <c r="B32" s="20" t="s">
        <v>909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'пр.4.1.ведом.22-23'!G457</f>
        <v>630</v>
      </c>
      <c r="H32" s="6">
        <f>'пр.4.1.ведом.22-23'!H457</f>
        <v>630</v>
      </c>
      <c r="I32" s="192"/>
    </row>
    <row r="33" spans="1:9" ht="31.5" x14ac:dyDescent="0.25">
      <c r="A33" s="25" t="s">
        <v>997</v>
      </c>
      <c r="B33" s="20" t="s">
        <v>910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192"/>
    </row>
    <row r="34" spans="1:9" ht="15.75" x14ac:dyDescent="0.25">
      <c r="A34" s="80" t="s">
        <v>243</v>
      </c>
      <c r="B34" s="20" t="s">
        <v>910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192"/>
    </row>
    <row r="35" spans="1:9" ht="15.75" x14ac:dyDescent="0.25">
      <c r="A35" s="29" t="s">
        <v>252</v>
      </c>
      <c r="B35" s="20" t="s">
        <v>910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192"/>
    </row>
    <row r="36" spans="1:9" ht="31.5" x14ac:dyDescent="0.25">
      <c r="A36" s="29" t="s">
        <v>248</v>
      </c>
      <c r="B36" s="20" t="s">
        <v>910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192"/>
    </row>
    <row r="37" spans="1:9" ht="31.5" x14ac:dyDescent="0.25">
      <c r="A37" s="29" t="s">
        <v>348</v>
      </c>
      <c r="B37" s="20" t="s">
        <v>910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192"/>
    </row>
    <row r="38" spans="1:9" ht="47.25" x14ac:dyDescent="0.25">
      <c r="A38" s="45" t="s">
        <v>658</v>
      </c>
      <c r="B38" s="20" t="s">
        <v>910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'пр.4.1.ведом.22-23'!G463</f>
        <v>257</v>
      </c>
      <c r="H38" s="6">
        <f>'пр.4.1.ведом.22-23'!H463</f>
        <v>257</v>
      </c>
      <c r="I38" s="192"/>
    </row>
    <row r="39" spans="1:9" ht="63" hidden="1" x14ac:dyDescent="0.25">
      <c r="A39" s="25" t="s">
        <v>1040</v>
      </c>
      <c r="B39" s="20" t="s">
        <v>911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192"/>
    </row>
    <row r="40" spans="1:9" ht="15.75" hidden="1" x14ac:dyDescent="0.25">
      <c r="A40" s="80" t="s">
        <v>243</v>
      </c>
      <c r="B40" s="20" t="s">
        <v>911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192"/>
    </row>
    <row r="41" spans="1:9" ht="15.75" hidden="1" x14ac:dyDescent="0.25">
      <c r="A41" s="29" t="s">
        <v>252</v>
      </c>
      <c r="B41" s="20" t="s">
        <v>911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192"/>
    </row>
    <row r="42" spans="1:9" ht="31.5" hidden="1" x14ac:dyDescent="0.25">
      <c r="A42" s="29" t="s">
        <v>248</v>
      </c>
      <c r="B42" s="20" t="s">
        <v>911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192"/>
    </row>
    <row r="43" spans="1:9" ht="31.5" hidden="1" x14ac:dyDescent="0.25">
      <c r="A43" s="29" t="s">
        <v>348</v>
      </c>
      <c r="B43" s="20" t="s">
        <v>911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192"/>
    </row>
    <row r="44" spans="1:9" ht="47.25" hidden="1" x14ac:dyDescent="0.25">
      <c r="A44" s="45" t="s">
        <v>658</v>
      </c>
      <c r="B44" s="20" t="s">
        <v>911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192"/>
    </row>
    <row r="45" spans="1:9" ht="15.75" x14ac:dyDescent="0.25">
      <c r="A45" s="41" t="s">
        <v>657</v>
      </c>
      <c r="B45" s="223"/>
      <c r="C45" s="223"/>
      <c r="D45" s="223"/>
      <c r="E45" s="223"/>
      <c r="F45" s="41"/>
      <c r="G45" s="59">
        <f>G9+G21+G27+G33+G39+G15</f>
        <v>11122.3</v>
      </c>
      <c r="H45" s="59">
        <f>H9+H21+H27+H33+H39+H15</f>
        <v>11152.3</v>
      </c>
      <c r="I45" s="192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5.140625" style="387" customWidth="1"/>
    <col min="2" max="2" width="15.28515625" style="387" customWidth="1"/>
    <col min="3" max="3" width="5.7109375" style="387" customWidth="1"/>
    <col min="4" max="4" width="6.7109375" style="387" customWidth="1"/>
    <col min="5" max="5" width="9.140625" style="387"/>
    <col min="6" max="6" width="8.140625" style="387" customWidth="1"/>
    <col min="7" max="7" width="13.42578125" style="22" customWidth="1"/>
    <col min="8" max="8" width="15.5703125" style="22" customWidth="1"/>
    <col min="9" max="16384" width="9.140625" style="387"/>
  </cols>
  <sheetData>
    <row r="1" spans="1:8" ht="15.75" x14ac:dyDescent="0.25">
      <c r="A1" s="192"/>
      <c r="B1" s="192"/>
      <c r="C1" s="192"/>
      <c r="D1" s="192"/>
      <c r="E1" s="192"/>
      <c r="F1" s="192"/>
      <c r="G1" s="571" t="s">
        <v>1503</v>
      </c>
      <c r="H1" s="571"/>
    </row>
    <row r="2" spans="1:8" ht="15.75" x14ac:dyDescent="0.25">
      <c r="A2" s="192"/>
      <c r="B2" s="192"/>
      <c r="C2" s="192"/>
      <c r="D2" s="192"/>
      <c r="E2" s="192"/>
      <c r="F2" s="192"/>
      <c r="G2" s="571" t="s">
        <v>1502</v>
      </c>
      <c r="H2" s="571"/>
    </row>
    <row r="3" spans="1:8" ht="15.75" x14ac:dyDescent="0.25">
      <c r="A3" s="192"/>
      <c r="B3" s="192"/>
      <c r="C3" s="192"/>
      <c r="D3" s="192"/>
      <c r="E3" s="192"/>
      <c r="F3" s="62"/>
      <c r="G3" s="539" t="s">
        <v>1496</v>
      </c>
      <c r="H3" s="539"/>
    </row>
    <row r="4" spans="1:8" ht="15.75" x14ac:dyDescent="0.25">
      <c r="A4" s="192"/>
      <c r="B4" s="192"/>
      <c r="C4" s="192"/>
      <c r="D4" s="192"/>
      <c r="E4" s="192"/>
      <c r="F4" s="62"/>
      <c r="G4" s="115"/>
      <c r="H4" s="429"/>
    </row>
    <row r="5" spans="1:8" ht="44.45" customHeight="1" x14ac:dyDescent="0.25">
      <c r="A5" s="570" t="s">
        <v>1326</v>
      </c>
      <c r="B5" s="570"/>
      <c r="C5" s="570"/>
      <c r="D5" s="570"/>
      <c r="E5" s="570"/>
      <c r="F5" s="570"/>
      <c r="G5" s="570"/>
      <c r="H5" s="570"/>
    </row>
    <row r="6" spans="1:8" ht="16.5" x14ac:dyDescent="0.25">
      <c r="A6" s="437"/>
      <c r="B6" s="437"/>
      <c r="C6" s="437"/>
      <c r="D6" s="437"/>
      <c r="E6" s="437"/>
      <c r="F6" s="437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50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46" t="s">
        <v>1027</v>
      </c>
      <c r="H8" s="336" t="s">
        <v>1288</v>
      </c>
    </row>
    <row r="9" spans="1:8" ht="47.25" x14ac:dyDescent="0.25">
      <c r="A9" s="58" t="s">
        <v>1369</v>
      </c>
      <c r="B9" s="7" t="s">
        <v>510</v>
      </c>
      <c r="C9" s="7"/>
      <c r="D9" s="7"/>
      <c r="E9" s="7"/>
      <c r="F9" s="7"/>
      <c r="G9" s="388">
        <f>G10+G17</f>
        <v>2319</v>
      </c>
      <c r="H9" s="388">
        <f>H10+H17</f>
        <v>2319</v>
      </c>
    </row>
    <row r="10" spans="1:8" ht="36" hidden="1" customHeight="1" x14ac:dyDescent="0.25">
      <c r="A10" s="34" t="s">
        <v>998</v>
      </c>
      <c r="B10" s="7" t="s">
        <v>957</v>
      </c>
      <c r="C10" s="399"/>
      <c r="D10" s="399"/>
      <c r="E10" s="399"/>
      <c r="F10" s="399"/>
      <c r="G10" s="389">
        <f>G13</f>
        <v>0</v>
      </c>
      <c r="H10" s="389">
        <f>H13</f>
        <v>0</v>
      </c>
    </row>
    <row r="11" spans="1:8" ht="15.75" hidden="1" x14ac:dyDescent="0.25">
      <c r="A11" s="29" t="s">
        <v>232</v>
      </c>
      <c r="B11" s="399" t="s">
        <v>957</v>
      </c>
      <c r="C11" s="399" t="s">
        <v>150</v>
      </c>
      <c r="D11" s="399"/>
      <c r="E11" s="399"/>
      <c r="F11" s="399"/>
      <c r="G11" s="389">
        <f t="shared" ref="G11:H14" si="0">G12</f>
        <v>0</v>
      </c>
      <c r="H11" s="389">
        <f t="shared" si="0"/>
        <v>0</v>
      </c>
    </row>
    <row r="12" spans="1:8" ht="15.75" hidden="1" x14ac:dyDescent="0.25">
      <c r="A12" s="29" t="s">
        <v>508</v>
      </c>
      <c r="B12" s="399" t="s">
        <v>957</v>
      </c>
      <c r="C12" s="399" t="s">
        <v>150</v>
      </c>
      <c r="D12" s="399" t="s">
        <v>219</v>
      </c>
      <c r="E12" s="399"/>
      <c r="F12" s="399"/>
      <c r="G12" s="389">
        <f t="shared" si="0"/>
        <v>0</v>
      </c>
      <c r="H12" s="389">
        <f t="shared" si="0"/>
        <v>0</v>
      </c>
    </row>
    <row r="13" spans="1:8" ht="31.5" hidden="1" x14ac:dyDescent="0.25">
      <c r="A13" s="29" t="s">
        <v>1000</v>
      </c>
      <c r="B13" s="399" t="s">
        <v>999</v>
      </c>
      <c r="C13" s="399" t="s">
        <v>150</v>
      </c>
      <c r="D13" s="399" t="s">
        <v>219</v>
      </c>
      <c r="E13" s="399"/>
      <c r="F13" s="399"/>
      <c r="G13" s="389">
        <f t="shared" si="0"/>
        <v>0</v>
      </c>
      <c r="H13" s="389">
        <f t="shared" si="0"/>
        <v>0</v>
      </c>
    </row>
    <row r="14" spans="1:8" ht="31.5" hidden="1" x14ac:dyDescent="0.25">
      <c r="A14" s="396" t="s">
        <v>131</v>
      </c>
      <c r="B14" s="399" t="s">
        <v>999</v>
      </c>
      <c r="C14" s="399" t="s">
        <v>150</v>
      </c>
      <c r="D14" s="399" t="s">
        <v>219</v>
      </c>
      <c r="E14" s="399" t="s">
        <v>132</v>
      </c>
      <c r="F14" s="399"/>
      <c r="G14" s="389">
        <f t="shared" si="0"/>
        <v>0</v>
      </c>
      <c r="H14" s="389">
        <f t="shared" si="0"/>
        <v>0</v>
      </c>
    </row>
    <row r="15" spans="1:8" ht="47.25" hidden="1" x14ac:dyDescent="0.25">
      <c r="A15" s="396" t="s">
        <v>133</v>
      </c>
      <c r="B15" s="399" t="s">
        <v>999</v>
      </c>
      <c r="C15" s="399" t="s">
        <v>150</v>
      </c>
      <c r="D15" s="399" t="s">
        <v>219</v>
      </c>
      <c r="E15" s="399" t="s">
        <v>134</v>
      </c>
      <c r="F15" s="399"/>
      <c r="G15" s="389">
        <f>'пр.6.1.ведом.22-23 (2)'!G865</f>
        <v>0</v>
      </c>
      <c r="H15" s="389">
        <f>'пр.6.1.ведом.22-23 (2)'!H865</f>
        <v>0</v>
      </c>
    </row>
    <row r="16" spans="1:8" ht="47.25" hidden="1" x14ac:dyDescent="0.25">
      <c r="A16" s="45" t="s">
        <v>623</v>
      </c>
      <c r="B16" s="399" t="s">
        <v>999</v>
      </c>
      <c r="C16" s="399" t="s">
        <v>150</v>
      </c>
      <c r="D16" s="399" t="s">
        <v>219</v>
      </c>
      <c r="E16" s="399" t="s">
        <v>134</v>
      </c>
      <c r="F16" s="399" t="s">
        <v>624</v>
      </c>
      <c r="G16" s="389">
        <f>G15</f>
        <v>0</v>
      </c>
      <c r="H16" s="389">
        <f>H15</f>
        <v>0</v>
      </c>
    </row>
    <row r="17" spans="1:8" ht="47.25" x14ac:dyDescent="0.25">
      <c r="A17" s="34" t="s">
        <v>1061</v>
      </c>
      <c r="B17" s="395" t="s">
        <v>958</v>
      </c>
      <c r="C17" s="399"/>
      <c r="D17" s="399"/>
      <c r="E17" s="399"/>
      <c r="F17" s="399"/>
      <c r="G17" s="388">
        <f t="shared" ref="G17:H19" si="1">G18</f>
        <v>2319</v>
      </c>
      <c r="H17" s="388">
        <f t="shared" si="1"/>
        <v>2319</v>
      </c>
    </row>
    <row r="18" spans="1:8" ht="15.75" x14ac:dyDescent="0.25">
      <c r="A18" s="29" t="s">
        <v>232</v>
      </c>
      <c r="B18" s="399" t="s">
        <v>958</v>
      </c>
      <c r="C18" s="399" t="s">
        <v>150</v>
      </c>
      <c r="D18" s="399"/>
      <c r="E18" s="399"/>
      <c r="F18" s="399"/>
      <c r="G18" s="389">
        <f t="shared" si="1"/>
        <v>2319</v>
      </c>
      <c r="H18" s="389">
        <f t="shared" si="1"/>
        <v>2319</v>
      </c>
    </row>
    <row r="19" spans="1:8" ht="15.75" x14ac:dyDescent="0.25">
      <c r="A19" s="29" t="s">
        <v>508</v>
      </c>
      <c r="B19" s="399" t="s">
        <v>958</v>
      </c>
      <c r="C19" s="399" t="s">
        <v>150</v>
      </c>
      <c r="D19" s="399" t="s">
        <v>219</v>
      </c>
      <c r="E19" s="399"/>
      <c r="F19" s="399"/>
      <c r="G19" s="389">
        <f t="shared" si="1"/>
        <v>2319</v>
      </c>
      <c r="H19" s="389">
        <f t="shared" si="1"/>
        <v>2319</v>
      </c>
    </row>
    <row r="20" spans="1:8" ht="15.75" x14ac:dyDescent="0.25">
      <c r="A20" s="29" t="s">
        <v>511</v>
      </c>
      <c r="B20" s="399" t="s">
        <v>1001</v>
      </c>
      <c r="C20" s="399" t="s">
        <v>150</v>
      </c>
      <c r="D20" s="399" t="s">
        <v>219</v>
      </c>
      <c r="E20" s="399"/>
      <c r="F20" s="399"/>
      <c r="G20" s="389">
        <f>G24+G27+G21</f>
        <v>2319</v>
      </c>
      <c r="H20" s="389">
        <f>H24+H27+H21</f>
        <v>2319</v>
      </c>
    </row>
    <row r="21" spans="1:8" ht="94.5" x14ac:dyDescent="0.25">
      <c r="A21" s="396" t="s">
        <v>127</v>
      </c>
      <c r="B21" s="399" t="s">
        <v>1001</v>
      </c>
      <c r="C21" s="399" t="s">
        <v>150</v>
      </c>
      <c r="D21" s="399" t="s">
        <v>219</v>
      </c>
      <c r="E21" s="399" t="s">
        <v>128</v>
      </c>
      <c r="F21" s="399"/>
      <c r="G21" s="389">
        <f>G22</f>
        <v>1807</v>
      </c>
      <c r="H21" s="389">
        <f>H22</f>
        <v>1807</v>
      </c>
    </row>
    <row r="22" spans="1:8" ht="31.5" x14ac:dyDescent="0.25">
      <c r="A22" s="396" t="s">
        <v>342</v>
      </c>
      <c r="B22" s="399" t="s">
        <v>1001</v>
      </c>
      <c r="C22" s="399" t="s">
        <v>150</v>
      </c>
      <c r="D22" s="399" t="s">
        <v>219</v>
      </c>
      <c r="E22" s="399" t="s">
        <v>209</v>
      </c>
      <c r="F22" s="399"/>
      <c r="G22" s="389">
        <f>'пр.6.1.ведом.22-23 (2)'!G869</f>
        <v>1807</v>
      </c>
      <c r="H22" s="389">
        <f>'пр.6.1.ведом.22-23 (2)'!H869</f>
        <v>1807</v>
      </c>
    </row>
    <row r="23" spans="1:8" ht="47.25" x14ac:dyDescent="0.25">
      <c r="A23" s="45" t="s">
        <v>623</v>
      </c>
      <c r="B23" s="399" t="s">
        <v>1001</v>
      </c>
      <c r="C23" s="399" t="s">
        <v>150</v>
      </c>
      <c r="D23" s="399" t="s">
        <v>219</v>
      </c>
      <c r="E23" s="399" t="s">
        <v>209</v>
      </c>
      <c r="F23" s="399" t="s">
        <v>624</v>
      </c>
      <c r="G23" s="389">
        <f>G22</f>
        <v>1807</v>
      </c>
      <c r="H23" s="389">
        <f>H22</f>
        <v>1807</v>
      </c>
    </row>
    <row r="24" spans="1:8" ht="31.5" x14ac:dyDescent="0.25">
      <c r="A24" s="29" t="s">
        <v>131</v>
      </c>
      <c r="B24" s="399" t="s">
        <v>1001</v>
      </c>
      <c r="C24" s="399" t="s">
        <v>150</v>
      </c>
      <c r="D24" s="399" t="s">
        <v>219</v>
      </c>
      <c r="E24" s="399" t="s">
        <v>132</v>
      </c>
      <c r="F24" s="399"/>
      <c r="G24" s="389">
        <f t="shared" ref="G24:H24" si="2">G25</f>
        <v>512</v>
      </c>
      <c r="H24" s="389">
        <f t="shared" si="2"/>
        <v>512</v>
      </c>
    </row>
    <row r="25" spans="1:8" ht="47.25" x14ac:dyDescent="0.25">
      <c r="A25" s="29" t="s">
        <v>133</v>
      </c>
      <c r="B25" s="399" t="s">
        <v>1001</v>
      </c>
      <c r="C25" s="399" t="s">
        <v>150</v>
      </c>
      <c r="D25" s="399" t="s">
        <v>219</v>
      </c>
      <c r="E25" s="399" t="s">
        <v>134</v>
      </c>
      <c r="F25" s="399"/>
      <c r="G25" s="389">
        <f>'пр.6.1.ведом.22-23 (2)'!G871</f>
        <v>512</v>
      </c>
      <c r="H25" s="389">
        <f>'пр.6.1.ведом.22-23 (2)'!H871</f>
        <v>512</v>
      </c>
    </row>
    <row r="26" spans="1:8" ht="47.25" x14ac:dyDescent="0.25">
      <c r="A26" s="45" t="s">
        <v>623</v>
      </c>
      <c r="B26" s="399" t="s">
        <v>1001</v>
      </c>
      <c r="C26" s="399" t="s">
        <v>150</v>
      </c>
      <c r="D26" s="399" t="s">
        <v>219</v>
      </c>
      <c r="E26" s="399" t="s">
        <v>134</v>
      </c>
      <c r="F26" s="399" t="s">
        <v>624</v>
      </c>
      <c r="G26" s="389">
        <f>G25</f>
        <v>512</v>
      </c>
      <c r="H26" s="389">
        <f>H25</f>
        <v>512</v>
      </c>
    </row>
    <row r="27" spans="1:8" ht="15.75" hidden="1" x14ac:dyDescent="0.25">
      <c r="A27" s="396" t="s">
        <v>135</v>
      </c>
      <c r="B27" s="399" t="s">
        <v>1001</v>
      </c>
      <c r="C27" s="399" t="s">
        <v>150</v>
      </c>
      <c r="D27" s="399" t="s">
        <v>219</v>
      </c>
      <c r="E27" s="399" t="s">
        <v>145</v>
      </c>
      <c r="F27" s="399"/>
      <c r="G27" s="389">
        <f t="shared" ref="G27:H27" si="3">G28</f>
        <v>0</v>
      </c>
      <c r="H27" s="389">
        <f t="shared" si="3"/>
        <v>0</v>
      </c>
    </row>
    <row r="28" spans="1:8" ht="15.75" hidden="1" x14ac:dyDescent="0.25">
      <c r="A28" s="396" t="s">
        <v>137</v>
      </c>
      <c r="B28" s="399" t="s">
        <v>1001</v>
      </c>
      <c r="C28" s="399" t="s">
        <v>150</v>
      </c>
      <c r="D28" s="399" t="s">
        <v>219</v>
      </c>
      <c r="E28" s="399" t="s">
        <v>138</v>
      </c>
      <c r="F28" s="399"/>
      <c r="G28" s="389">
        <f>'пр.6.1.ведом.22-23 (2)'!G873</f>
        <v>0</v>
      </c>
      <c r="H28" s="389">
        <f>'пр.6.1.ведом.22-23 (2)'!H873</f>
        <v>0</v>
      </c>
    </row>
    <row r="29" spans="1:8" ht="47.25" hidden="1" x14ac:dyDescent="0.25">
      <c r="A29" s="45" t="s">
        <v>623</v>
      </c>
      <c r="B29" s="399" t="s">
        <v>1001</v>
      </c>
      <c r="C29" s="399" t="s">
        <v>150</v>
      </c>
      <c r="D29" s="399" t="s">
        <v>219</v>
      </c>
      <c r="E29" s="399" t="s">
        <v>138</v>
      </c>
      <c r="F29" s="399" t="s">
        <v>624</v>
      </c>
      <c r="G29" s="389">
        <f>G28</f>
        <v>0</v>
      </c>
      <c r="H29" s="389">
        <f>H28</f>
        <v>0</v>
      </c>
    </row>
    <row r="30" spans="1:8" ht="63" x14ac:dyDescent="0.25">
      <c r="A30" s="58" t="s">
        <v>1381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195" t="s">
        <v>1029</v>
      </c>
      <c r="B32" s="395" t="s">
        <v>891</v>
      </c>
      <c r="C32" s="7"/>
      <c r="D32" s="7"/>
      <c r="E32" s="399"/>
      <c r="F32" s="399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399" t="s">
        <v>891</v>
      </c>
      <c r="C33" s="399" t="s">
        <v>264</v>
      </c>
      <c r="D33" s="399"/>
      <c r="E33" s="399"/>
      <c r="F33" s="399"/>
      <c r="G33" s="10">
        <f t="shared" ref="G33:H33" si="4">G34</f>
        <v>280</v>
      </c>
      <c r="H33" s="10">
        <f t="shared" si="4"/>
        <v>280</v>
      </c>
    </row>
    <row r="34" spans="1:8" ht="17.45" customHeight="1" x14ac:dyDescent="0.25">
      <c r="A34" s="45" t="s">
        <v>466</v>
      </c>
      <c r="B34" s="399" t="s">
        <v>891</v>
      </c>
      <c r="C34" s="399" t="s">
        <v>264</v>
      </c>
      <c r="D34" s="399" t="s">
        <v>264</v>
      </c>
      <c r="E34" s="399"/>
      <c r="F34" s="399"/>
      <c r="G34" s="10">
        <f>G35+G39</f>
        <v>280</v>
      </c>
      <c r="H34" s="10">
        <f>H35+H39</f>
        <v>280</v>
      </c>
    </row>
    <row r="35" spans="1:8" ht="31.5" x14ac:dyDescent="0.25">
      <c r="A35" s="98" t="s">
        <v>1035</v>
      </c>
      <c r="B35" s="392" t="s">
        <v>892</v>
      </c>
      <c r="C35" s="399" t="s">
        <v>264</v>
      </c>
      <c r="D35" s="399" t="s">
        <v>264</v>
      </c>
      <c r="E35" s="399"/>
      <c r="F35" s="399"/>
      <c r="G35" s="10">
        <f>G36</f>
        <v>280</v>
      </c>
      <c r="H35" s="10">
        <f>H36</f>
        <v>280</v>
      </c>
    </row>
    <row r="36" spans="1:8" ht="94.5" x14ac:dyDescent="0.25">
      <c r="A36" s="396" t="s">
        <v>127</v>
      </c>
      <c r="B36" s="392" t="s">
        <v>892</v>
      </c>
      <c r="C36" s="399" t="s">
        <v>264</v>
      </c>
      <c r="D36" s="399" t="s">
        <v>264</v>
      </c>
      <c r="E36" s="399" t="s">
        <v>128</v>
      </c>
      <c r="F36" s="399"/>
      <c r="G36" s="10">
        <f>G37</f>
        <v>280</v>
      </c>
      <c r="H36" s="10">
        <f>H37</f>
        <v>280</v>
      </c>
    </row>
    <row r="37" spans="1:8" ht="31.5" x14ac:dyDescent="0.25">
      <c r="A37" s="396" t="s">
        <v>342</v>
      </c>
      <c r="B37" s="392" t="s">
        <v>892</v>
      </c>
      <c r="C37" s="399" t="s">
        <v>264</v>
      </c>
      <c r="D37" s="399" t="s">
        <v>264</v>
      </c>
      <c r="E37" s="399" t="s">
        <v>209</v>
      </c>
      <c r="F37" s="399"/>
      <c r="G37" s="10">
        <f>'пр.6.1.ведом.22-23 (2)'!G343</f>
        <v>280</v>
      </c>
      <c r="H37" s="10">
        <f>'пр.6.1.ведом.22-23 (2)'!H343</f>
        <v>280</v>
      </c>
    </row>
    <row r="38" spans="1:8" ht="47.25" x14ac:dyDescent="0.25">
      <c r="A38" s="45" t="s">
        <v>261</v>
      </c>
      <c r="B38" s="392" t="s">
        <v>892</v>
      </c>
      <c r="C38" s="399" t="s">
        <v>264</v>
      </c>
      <c r="D38" s="399" t="s">
        <v>264</v>
      </c>
      <c r="E38" s="399" t="s">
        <v>209</v>
      </c>
      <c r="F38" s="399" t="s">
        <v>627</v>
      </c>
      <c r="G38" s="389">
        <f>G37</f>
        <v>280</v>
      </c>
      <c r="H38" s="389">
        <f>H37</f>
        <v>280</v>
      </c>
    </row>
    <row r="39" spans="1:8" ht="31.5" hidden="1" x14ac:dyDescent="0.25">
      <c r="A39" s="396" t="s">
        <v>1030</v>
      </c>
      <c r="B39" s="392" t="s">
        <v>1047</v>
      </c>
      <c r="C39" s="399" t="s">
        <v>264</v>
      </c>
      <c r="D39" s="399" t="s">
        <v>264</v>
      </c>
      <c r="E39" s="399"/>
      <c r="F39" s="399"/>
      <c r="G39" s="10">
        <f>G40</f>
        <v>0</v>
      </c>
      <c r="H39" s="10">
        <f>H40</f>
        <v>0</v>
      </c>
    </row>
    <row r="40" spans="1:8" ht="31.5" hidden="1" x14ac:dyDescent="0.25">
      <c r="A40" s="396" t="s">
        <v>131</v>
      </c>
      <c r="B40" s="392" t="s">
        <v>1047</v>
      </c>
      <c r="C40" s="399" t="s">
        <v>264</v>
      </c>
      <c r="D40" s="399" t="s">
        <v>264</v>
      </c>
      <c r="E40" s="399" t="s">
        <v>132</v>
      </c>
      <c r="F40" s="399"/>
      <c r="G40" s="10">
        <f>G41</f>
        <v>0</v>
      </c>
      <c r="H40" s="10">
        <f>H41</f>
        <v>0</v>
      </c>
    </row>
    <row r="41" spans="1:8" ht="47.25" hidden="1" x14ac:dyDescent="0.25">
      <c r="A41" s="396" t="s">
        <v>133</v>
      </c>
      <c r="B41" s="392" t="s">
        <v>1047</v>
      </c>
      <c r="C41" s="399" t="s">
        <v>264</v>
      </c>
      <c r="D41" s="399" t="s">
        <v>264</v>
      </c>
      <c r="E41" s="399" t="s">
        <v>134</v>
      </c>
      <c r="F41" s="399"/>
      <c r="G41" s="10">
        <f>'пр.6.1.ведом.22-23 (2)'!G346</f>
        <v>0</v>
      </c>
      <c r="H41" s="10">
        <f>'пр.6.1.ведом.22-23 (2)'!H346</f>
        <v>0</v>
      </c>
    </row>
    <row r="42" spans="1:8" ht="47.25" hidden="1" x14ac:dyDescent="0.25">
      <c r="A42" s="45" t="s">
        <v>261</v>
      </c>
      <c r="B42" s="392" t="s">
        <v>1047</v>
      </c>
      <c r="C42" s="399" t="s">
        <v>264</v>
      </c>
      <c r="D42" s="399" t="s">
        <v>264</v>
      </c>
      <c r="E42" s="399" t="s">
        <v>134</v>
      </c>
      <c r="F42" s="399" t="s">
        <v>627</v>
      </c>
      <c r="G42" s="389">
        <f>G41</f>
        <v>0</v>
      </c>
      <c r="H42" s="389">
        <f>H41</f>
        <v>0</v>
      </c>
    </row>
    <row r="43" spans="1:8" ht="78.75" x14ac:dyDescent="0.25">
      <c r="A43" s="394" t="s">
        <v>1031</v>
      </c>
      <c r="B43" s="395" t="s">
        <v>893</v>
      </c>
      <c r="C43" s="399"/>
      <c r="D43" s="399"/>
      <c r="E43" s="399"/>
      <c r="F43" s="399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399" t="s">
        <v>893</v>
      </c>
      <c r="C44" s="399" t="s">
        <v>264</v>
      </c>
      <c r="D44" s="399"/>
      <c r="E44" s="399"/>
      <c r="F44" s="399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399" t="s">
        <v>893</v>
      </c>
      <c r="C45" s="399" t="s">
        <v>264</v>
      </c>
      <c r="D45" s="399" t="s">
        <v>264</v>
      </c>
      <c r="E45" s="399"/>
      <c r="F45" s="399"/>
      <c r="G45" s="10">
        <f>G46+G50</f>
        <v>455</v>
      </c>
      <c r="H45" s="10">
        <f>H46+H50</f>
        <v>520</v>
      </c>
    </row>
    <row r="46" spans="1:8" ht="31.5" x14ac:dyDescent="0.25">
      <c r="A46" s="396" t="s">
        <v>1032</v>
      </c>
      <c r="B46" s="392" t="s">
        <v>900</v>
      </c>
      <c r="C46" s="399" t="s">
        <v>264</v>
      </c>
      <c r="D46" s="399" t="s">
        <v>264</v>
      </c>
      <c r="E46" s="399"/>
      <c r="F46" s="399"/>
      <c r="G46" s="10">
        <f>G47</f>
        <v>40</v>
      </c>
      <c r="H46" s="10">
        <f>H47</f>
        <v>40</v>
      </c>
    </row>
    <row r="47" spans="1:8" ht="94.5" x14ac:dyDescent="0.25">
      <c r="A47" s="396" t="s">
        <v>127</v>
      </c>
      <c r="B47" s="392" t="s">
        <v>900</v>
      </c>
      <c r="C47" s="399" t="s">
        <v>264</v>
      </c>
      <c r="D47" s="399" t="s">
        <v>264</v>
      </c>
      <c r="E47" s="399" t="s">
        <v>128</v>
      </c>
      <c r="F47" s="399"/>
      <c r="G47" s="10">
        <f t="shared" ref="G47:H47" si="5">G48</f>
        <v>40</v>
      </c>
      <c r="H47" s="10">
        <f t="shared" si="5"/>
        <v>40</v>
      </c>
    </row>
    <row r="48" spans="1:8" ht="31.5" x14ac:dyDescent="0.25">
      <c r="A48" s="396" t="s">
        <v>342</v>
      </c>
      <c r="B48" s="392" t="s">
        <v>900</v>
      </c>
      <c r="C48" s="399" t="s">
        <v>264</v>
      </c>
      <c r="D48" s="399" t="s">
        <v>264</v>
      </c>
      <c r="E48" s="399" t="s">
        <v>209</v>
      </c>
      <c r="F48" s="399"/>
      <c r="G48" s="10">
        <f>'пр.6.1.ведом.22-23 (2)'!G350</f>
        <v>40</v>
      </c>
      <c r="H48" s="10">
        <f>'пр.6.1.ведом.22-23 (2)'!H350</f>
        <v>40</v>
      </c>
    </row>
    <row r="49" spans="1:8" ht="47.25" x14ac:dyDescent="0.25">
      <c r="A49" s="45" t="s">
        <v>261</v>
      </c>
      <c r="B49" s="392" t="s">
        <v>900</v>
      </c>
      <c r="C49" s="399" t="s">
        <v>264</v>
      </c>
      <c r="D49" s="399" t="s">
        <v>264</v>
      </c>
      <c r="E49" s="399" t="s">
        <v>209</v>
      </c>
      <c r="F49" s="399" t="s">
        <v>627</v>
      </c>
      <c r="G49" s="389">
        <f>G48</f>
        <v>40</v>
      </c>
      <c r="H49" s="389">
        <f>H48</f>
        <v>40</v>
      </c>
    </row>
    <row r="50" spans="1:8" ht="31.5" x14ac:dyDescent="0.25">
      <c r="A50" s="396" t="s">
        <v>131</v>
      </c>
      <c r="B50" s="392" t="s">
        <v>900</v>
      </c>
      <c r="C50" s="399" t="s">
        <v>264</v>
      </c>
      <c r="D50" s="399" t="s">
        <v>264</v>
      </c>
      <c r="E50" s="399" t="s">
        <v>132</v>
      </c>
      <c r="F50" s="399"/>
      <c r="G50" s="10">
        <f t="shared" ref="G50:H50" si="6">G51</f>
        <v>415</v>
      </c>
      <c r="H50" s="10">
        <f t="shared" si="6"/>
        <v>480</v>
      </c>
    </row>
    <row r="51" spans="1:8" ht="47.25" x14ac:dyDescent="0.25">
      <c r="A51" s="396" t="s">
        <v>133</v>
      </c>
      <c r="B51" s="392" t="s">
        <v>900</v>
      </c>
      <c r="C51" s="399" t="s">
        <v>264</v>
      </c>
      <c r="D51" s="399" t="s">
        <v>264</v>
      </c>
      <c r="E51" s="399" t="s">
        <v>134</v>
      </c>
      <c r="F51" s="399"/>
      <c r="G51" s="389">
        <f>'пр.6.1.ведом.22-23 (2)'!G352</f>
        <v>415</v>
      </c>
      <c r="H51" s="389">
        <f>'пр.6.1.ведом.22-23 (2)'!H352</f>
        <v>480</v>
      </c>
    </row>
    <row r="52" spans="1:8" ht="47.25" x14ac:dyDescent="0.25">
      <c r="A52" s="45" t="s">
        <v>261</v>
      </c>
      <c r="B52" s="392" t="s">
        <v>900</v>
      </c>
      <c r="C52" s="399" t="s">
        <v>264</v>
      </c>
      <c r="D52" s="399" t="s">
        <v>264</v>
      </c>
      <c r="E52" s="399" t="s">
        <v>134</v>
      </c>
      <c r="F52" s="399" t="s">
        <v>627</v>
      </c>
      <c r="G52" s="389">
        <f>G51</f>
        <v>415</v>
      </c>
      <c r="H52" s="389">
        <f>H51</f>
        <v>480</v>
      </c>
    </row>
    <row r="53" spans="1:8" ht="47.25" x14ac:dyDescent="0.25">
      <c r="A53" s="394" t="s">
        <v>1037</v>
      </c>
      <c r="B53" s="395" t="s">
        <v>1033</v>
      </c>
      <c r="C53" s="399"/>
      <c r="D53" s="399"/>
      <c r="E53" s="399"/>
      <c r="F53" s="399"/>
      <c r="G53" s="388">
        <f>G56</f>
        <v>25</v>
      </c>
      <c r="H53" s="388">
        <f>H56</f>
        <v>25</v>
      </c>
    </row>
    <row r="54" spans="1:8" ht="15.75" x14ac:dyDescent="0.25">
      <c r="A54" s="45" t="s">
        <v>263</v>
      </c>
      <c r="B54" s="399" t="s">
        <v>1033</v>
      </c>
      <c r="C54" s="399" t="s">
        <v>264</v>
      </c>
      <c r="D54" s="399"/>
      <c r="E54" s="399"/>
      <c r="F54" s="399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399" t="s">
        <v>1033</v>
      </c>
      <c r="C55" s="399" t="s">
        <v>264</v>
      </c>
      <c r="D55" s="399" t="s">
        <v>264</v>
      </c>
      <c r="E55" s="399"/>
      <c r="F55" s="399"/>
      <c r="G55" s="10">
        <f>G56</f>
        <v>25</v>
      </c>
      <c r="H55" s="10">
        <f>H56</f>
        <v>25</v>
      </c>
    </row>
    <row r="56" spans="1:8" ht="63" x14ac:dyDescent="0.25">
      <c r="A56" s="215" t="s">
        <v>1034</v>
      </c>
      <c r="B56" s="392" t="s">
        <v>1048</v>
      </c>
      <c r="C56" s="399" t="s">
        <v>264</v>
      </c>
      <c r="D56" s="399" t="s">
        <v>264</v>
      </c>
      <c r="E56" s="392"/>
      <c r="F56" s="399"/>
      <c r="G56" s="389">
        <f t="shared" ref="G56:H56" si="7">G57</f>
        <v>25</v>
      </c>
      <c r="H56" s="389">
        <f t="shared" si="7"/>
        <v>25</v>
      </c>
    </row>
    <row r="57" spans="1:8" ht="31.5" x14ac:dyDescent="0.25">
      <c r="A57" s="396" t="s">
        <v>248</v>
      </c>
      <c r="B57" s="392" t="s">
        <v>1048</v>
      </c>
      <c r="C57" s="399" t="s">
        <v>264</v>
      </c>
      <c r="D57" s="399" t="s">
        <v>264</v>
      </c>
      <c r="E57" s="392" t="s">
        <v>249</v>
      </c>
      <c r="F57" s="399"/>
      <c r="G57" s="389">
        <f>G58</f>
        <v>25</v>
      </c>
      <c r="H57" s="389">
        <f>H58</f>
        <v>25</v>
      </c>
    </row>
    <row r="58" spans="1:8" ht="31.5" x14ac:dyDescent="0.25">
      <c r="A58" s="396" t="s">
        <v>1194</v>
      </c>
      <c r="B58" s="392" t="s">
        <v>1048</v>
      </c>
      <c r="C58" s="399" t="s">
        <v>264</v>
      </c>
      <c r="D58" s="399" t="s">
        <v>264</v>
      </c>
      <c r="E58" s="392" t="s">
        <v>349</v>
      </c>
      <c r="F58" s="399"/>
      <c r="G58" s="10">
        <f>'пр.6.1.ведом.22-23 (2)'!G356</f>
        <v>25</v>
      </c>
      <c r="H58" s="10">
        <f>'пр.6.1.ведом.22-23 (2)'!H356</f>
        <v>25</v>
      </c>
    </row>
    <row r="59" spans="1:8" ht="47.25" x14ac:dyDescent="0.25">
      <c r="A59" s="45" t="s">
        <v>261</v>
      </c>
      <c r="B59" s="392" t="s">
        <v>1048</v>
      </c>
      <c r="C59" s="399" t="s">
        <v>264</v>
      </c>
      <c r="D59" s="399" t="s">
        <v>264</v>
      </c>
      <c r="E59" s="399" t="s">
        <v>349</v>
      </c>
      <c r="F59" s="399" t="s">
        <v>627</v>
      </c>
      <c r="G59" s="389">
        <f>G58</f>
        <v>25</v>
      </c>
      <c r="H59" s="389">
        <f>H58</f>
        <v>25</v>
      </c>
    </row>
    <row r="60" spans="1:8" ht="47.25" hidden="1" x14ac:dyDescent="0.25">
      <c r="A60" s="58" t="s">
        <v>1382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394" t="s">
        <v>904</v>
      </c>
      <c r="B61" s="395" t="s">
        <v>903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399" t="s">
        <v>903</v>
      </c>
      <c r="C62" s="399" t="s">
        <v>244</v>
      </c>
      <c r="D62" s="399"/>
      <c r="E62" s="399"/>
      <c r="F62" s="399"/>
      <c r="G62" s="10">
        <f t="shared" ref="G62:H65" si="8">G63</f>
        <v>294.61</v>
      </c>
      <c r="H62" s="10">
        <f t="shared" si="8"/>
        <v>289.11</v>
      </c>
    </row>
    <row r="63" spans="1:8" ht="15.75" hidden="1" x14ac:dyDescent="0.25">
      <c r="A63" s="45" t="s">
        <v>252</v>
      </c>
      <c r="B63" s="399" t="s">
        <v>903</v>
      </c>
      <c r="C63" s="399" t="s">
        <v>244</v>
      </c>
      <c r="D63" s="399" t="s">
        <v>215</v>
      </c>
      <c r="E63" s="399"/>
      <c r="F63" s="399"/>
      <c r="G63" s="10">
        <f>G64</f>
        <v>294.61</v>
      </c>
      <c r="H63" s="10">
        <f>H64</f>
        <v>289.11</v>
      </c>
    </row>
    <row r="64" spans="1:8" ht="31.5" hidden="1" x14ac:dyDescent="0.25">
      <c r="A64" s="396" t="s">
        <v>823</v>
      </c>
      <c r="B64" s="392" t="s">
        <v>905</v>
      </c>
      <c r="C64" s="399" t="s">
        <v>244</v>
      </c>
      <c r="D64" s="399" t="s">
        <v>215</v>
      </c>
      <c r="E64" s="399"/>
      <c r="F64" s="399"/>
      <c r="G64" s="10">
        <f t="shared" si="8"/>
        <v>294.61</v>
      </c>
      <c r="H64" s="10">
        <f t="shared" si="8"/>
        <v>289.11</v>
      </c>
    </row>
    <row r="65" spans="1:8" ht="31.5" hidden="1" x14ac:dyDescent="0.25">
      <c r="A65" s="29" t="s">
        <v>248</v>
      </c>
      <c r="B65" s="392" t="s">
        <v>905</v>
      </c>
      <c r="C65" s="399" t="s">
        <v>244</v>
      </c>
      <c r="D65" s="399" t="s">
        <v>215</v>
      </c>
      <c r="E65" s="399" t="s">
        <v>249</v>
      </c>
      <c r="F65" s="399"/>
      <c r="G65" s="10">
        <f t="shared" si="8"/>
        <v>294.61</v>
      </c>
      <c r="H65" s="10">
        <f t="shared" si="8"/>
        <v>289.11</v>
      </c>
    </row>
    <row r="66" spans="1:8" ht="47.25" hidden="1" x14ac:dyDescent="0.25">
      <c r="A66" s="29" t="s">
        <v>250</v>
      </c>
      <c r="B66" s="392" t="s">
        <v>905</v>
      </c>
      <c r="C66" s="399" t="s">
        <v>244</v>
      </c>
      <c r="D66" s="399" t="s">
        <v>215</v>
      </c>
      <c r="E66" s="399" t="s">
        <v>251</v>
      </c>
      <c r="F66" s="399"/>
      <c r="G66" s="10">
        <f>'пр.6.1.ведом.22-23 (2)'!G452</f>
        <v>294.61</v>
      </c>
      <c r="H66" s="10">
        <f>'пр.6.1.ведом.22-23 (2)'!H452</f>
        <v>289.11</v>
      </c>
    </row>
    <row r="67" spans="1:8" ht="47.25" hidden="1" x14ac:dyDescent="0.25">
      <c r="A67" s="45" t="s">
        <v>261</v>
      </c>
      <c r="B67" s="392" t="s">
        <v>905</v>
      </c>
      <c r="C67" s="399" t="s">
        <v>244</v>
      </c>
      <c r="D67" s="399" t="s">
        <v>215</v>
      </c>
      <c r="E67" s="399" t="s">
        <v>251</v>
      </c>
      <c r="F67" s="399" t="s">
        <v>627</v>
      </c>
      <c r="G67" s="10">
        <f>G66</f>
        <v>294.61</v>
      </c>
      <c r="H67" s="10">
        <f>H66</f>
        <v>289.11</v>
      </c>
    </row>
    <row r="68" spans="1:8" ht="63" x14ac:dyDescent="0.25">
      <c r="A68" s="400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ht="47.25" hidden="1" x14ac:dyDescent="0.25">
      <c r="A69" s="199" t="s">
        <v>1043</v>
      </c>
      <c r="B69" s="395" t="s">
        <v>906</v>
      </c>
      <c r="C69" s="7"/>
      <c r="D69" s="7"/>
      <c r="E69" s="7"/>
      <c r="F69" s="7"/>
      <c r="G69" s="59">
        <f t="shared" ref="G69:H73" si="9">G70</f>
        <v>0</v>
      </c>
      <c r="H69" s="59">
        <f t="shared" si="9"/>
        <v>0</v>
      </c>
    </row>
    <row r="70" spans="1:8" ht="15.75" hidden="1" x14ac:dyDescent="0.25">
      <c r="A70" s="45" t="s">
        <v>232</v>
      </c>
      <c r="B70" s="399" t="s">
        <v>906</v>
      </c>
      <c r="C70" s="399" t="s">
        <v>150</v>
      </c>
      <c r="D70" s="399"/>
      <c r="E70" s="399"/>
      <c r="F70" s="399"/>
      <c r="G70" s="10">
        <f t="shared" si="9"/>
        <v>0</v>
      </c>
      <c r="H70" s="10">
        <f t="shared" si="9"/>
        <v>0</v>
      </c>
    </row>
    <row r="71" spans="1:8" ht="31.5" hidden="1" x14ac:dyDescent="0.25">
      <c r="A71" s="45" t="s">
        <v>237</v>
      </c>
      <c r="B71" s="399" t="s">
        <v>906</v>
      </c>
      <c r="C71" s="399" t="s">
        <v>150</v>
      </c>
      <c r="D71" s="399" t="s">
        <v>238</v>
      </c>
      <c r="E71" s="399"/>
      <c r="F71" s="399"/>
      <c r="G71" s="10">
        <f t="shared" si="9"/>
        <v>0</v>
      </c>
      <c r="H71" s="10">
        <f t="shared" si="9"/>
        <v>0</v>
      </c>
    </row>
    <row r="72" spans="1:8" ht="63" hidden="1" x14ac:dyDescent="0.25">
      <c r="A72" s="396" t="s">
        <v>375</v>
      </c>
      <c r="B72" s="392" t="s">
        <v>1314</v>
      </c>
      <c r="C72" s="399" t="s">
        <v>150</v>
      </c>
      <c r="D72" s="399" t="s">
        <v>238</v>
      </c>
      <c r="E72" s="399"/>
      <c r="F72" s="399"/>
      <c r="G72" s="10">
        <f t="shared" si="9"/>
        <v>0</v>
      </c>
      <c r="H72" s="10">
        <f t="shared" si="9"/>
        <v>0</v>
      </c>
    </row>
    <row r="73" spans="1:8" ht="31.5" hidden="1" x14ac:dyDescent="0.25">
      <c r="A73" s="396" t="s">
        <v>248</v>
      </c>
      <c r="B73" s="392" t="s">
        <v>1314</v>
      </c>
      <c r="C73" s="399" t="s">
        <v>150</v>
      </c>
      <c r="D73" s="399" t="s">
        <v>238</v>
      </c>
      <c r="E73" s="399" t="s">
        <v>249</v>
      </c>
      <c r="F73" s="399"/>
      <c r="G73" s="10">
        <f t="shared" si="9"/>
        <v>0</v>
      </c>
      <c r="H73" s="10">
        <f t="shared" si="9"/>
        <v>0</v>
      </c>
    </row>
    <row r="74" spans="1:8" ht="47.25" hidden="1" x14ac:dyDescent="0.25">
      <c r="A74" s="396" t="s">
        <v>250</v>
      </c>
      <c r="B74" s="392" t="s">
        <v>1314</v>
      </c>
      <c r="C74" s="399" t="s">
        <v>150</v>
      </c>
      <c r="D74" s="399" t="s">
        <v>238</v>
      </c>
      <c r="E74" s="399" t="s">
        <v>251</v>
      </c>
      <c r="F74" s="399"/>
      <c r="G74" s="10">
        <f>'пр.6.1.ведом.22-23 (2)'!G280</f>
        <v>0</v>
      </c>
      <c r="H74" s="10">
        <f>'пр.6.1.ведом.22-23 (2)'!H280</f>
        <v>0</v>
      </c>
    </row>
    <row r="75" spans="1:8" ht="47.25" hidden="1" x14ac:dyDescent="0.25">
      <c r="A75" s="45" t="s">
        <v>261</v>
      </c>
      <c r="B75" s="392" t="s">
        <v>1314</v>
      </c>
      <c r="C75" s="399" t="s">
        <v>150</v>
      </c>
      <c r="D75" s="399" t="s">
        <v>238</v>
      </c>
      <c r="E75" s="399" t="s">
        <v>251</v>
      </c>
      <c r="F75" s="399" t="s">
        <v>627</v>
      </c>
      <c r="G75" s="10">
        <f>G74</f>
        <v>0</v>
      </c>
      <c r="H75" s="10">
        <f>H74</f>
        <v>0</v>
      </c>
    </row>
    <row r="76" spans="1:8" ht="47.25" x14ac:dyDescent="0.25">
      <c r="A76" s="394" t="s">
        <v>1041</v>
      </c>
      <c r="B76" s="7" t="s">
        <v>1197</v>
      </c>
      <c r="C76" s="7"/>
      <c r="D76" s="7"/>
      <c r="E76" s="7"/>
      <c r="F76" s="7"/>
      <c r="G76" s="59">
        <f t="shared" ref="G76:H80" si="10">G77</f>
        <v>260</v>
      </c>
      <c r="H76" s="59">
        <f t="shared" si="10"/>
        <v>260</v>
      </c>
    </row>
    <row r="77" spans="1:8" ht="15.75" x14ac:dyDescent="0.25">
      <c r="A77" s="45" t="s">
        <v>232</v>
      </c>
      <c r="B77" s="399" t="s">
        <v>1197</v>
      </c>
      <c r="C77" s="399" t="s">
        <v>150</v>
      </c>
      <c r="D77" s="399"/>
      <c r="E77" s="399"/>
      <c r="F77" s="399"/>
      <c r="G77" s="10">
        <f t="shared" si="10"/>
        <v>260</v>
      </c>
      <c r="H77" s="10">
        <f t="shared" si="10"/>
        <v>260</v>
      </c>
    </row>
    <row r="78" spans="1:8" ht="31.5" x14ac:dyDescent="0.25">
      <c r="A78" s="45" t="s">
        <v>237</v>
      </c>
      <c r="B78" s="399" t="s">
        <v>1197</v>
      </c>
      <c r="C78" s="399" t="s">
        <v>150</v>
      </c>
      <c r="D78" s="399" t="s">
        <v>238</v>
      </c>
      <c r="E78" s="399"/>
      <c r="F78" s="399"/>
      <c r="G78" s="10">
        <f t="shared" si="10"/>
        <v>260</v>
      </c>
      <c r="H78" s="10">
        <f t="shared" si="10"/>
        <v>260</v>
      </c>
    </row>
    <row r="79" spans="1:8" ht="126" x14ac:dyDescent="0.25">
      <c r="A79" s="396" t="s">
        <v>1485</v>
      </c>
      <c r="B79" s="392" t="s">
        <v>1198</v>
      </c>
      <c r="C79" s="399" t="s">
        <v>150</v>
      </c>
      <c r="D79" s="399" t="s">
        <v>238</v>
      </c>
      <c r="E79" s="399"/>
      <c r="F79" s="399"/>
      <c r="G79" s="10">
        <f t="shared" si="10"/>
        <v>260</v>
      </c>
      <c r="H79" s="10">
        <f t="shared" si="10"/>
        <v>260</v>
      </c>
    </row>
    <row r="80" spans="1:8" ht="47.25" x14ac:dyDescent="0.25">
      <c r="A80" s="396" t="s">
        <v>272</v>
      </c>
      <c r="B80" s="392" t="s">
        <v>1198</v>
      </c>
      <c r="C80" s="399" t="s">
        <v>150</v>
      </c>
      <c r="D80" s="399" t="s">
        <v>238</v>
      </c>
      <c r="E80" s="399" t="s">
        <v>273</v>
      </c>
      <c r="F80" s="399"/>
      <c r="G80" s="10">
        <f t="shared" si="10"/>
        <v>260</v>
      </c>
      <c r="H80" s="10">
        <f t="shared" si="10"/>
        <v>260</v>
      </c>
    </row>
    <row r="81" spans="1:8" ht="78.75" x14ac:dyDescent="0.25">
      <c r="A81" s="396" t="s">
        <v>1090</v>
      </c>
      <c r="B81" s="392" t="s">
        <v>1198</v>
      </c>
      <c r="C81" s="399" t="s">
        <v>150</v>
      </c>
      <c r="D81" s="399" t="s">
        <v>238</v>
      </c>
      <c r="E81" s="399" t="s">
        <v>372</v>
      </c>
      <c r="F81" s="399"/>
      <c r="G81" s="10">
        <f>'пр.6.1.ведом.22-23 (2)'!G284</f>
        <v>260</v>
      </c>
      <c r="H81" s="10">
        <f>'пр.6.1.ведом.22-23 (2)'!H284</f>
        <v>260</v>
      </c>
    </row>
    <row r="82" spans="1:8" ht="47.25" x14ac:dyDescent="0.25">
      <c r="A82" s="45" t="s">
        <v>261</v>
      </c>
      <c r="B82" s="392" t="s">
        <v>1198</v>
      </c>
      <c r="C82" s="399" t="s">
        <v>150</v>
      </c>
      <c r="D82" s="399" t="s">
        <v>238</v>
      </c>
      <c r="E82" s="399" t="s">
        <v>372</v>
      </c>
      <c r="F82" s="399" t="s">
        <v>627</v>
      </c>
      <c r="G82" s="10">
        <f>G81</f>
        <v>260</v>
      </c>
      <c r="H82" s="10">
        <f>H81</f>
        <v>260</v>
      </c>
    </row>
    <row r="83" spans="1:8" ht="31.5" hidden="1" x14ac:dyDescent="0.25">
      <c r="A83" s="394" t="s">
        <v>994</v>
      </c>
      <c r="B83" s="395" t="s">
        <v>1307</v>
      </c>
      <c r="C83" s="7"/>
      <c r="D83" s="7"/>
      <c r="E83" s="7"/>
      <c r="F83" s="7"/>
      <c r="G83" s="59">
        <f t="shared" ref="G83:H87" si="11">G84</f>
        <v>0</v>
      </c>
      <c r="H83" s="59">
        <f t="shared" si="11"/>
        <v>0</v>
      </c>
    </row>
    <row r="84" spans="1:8" ht="15.75" hidden="1" x14ac:dyDescent="0.25">
      <c r="A84" s="45" t="s">
        <v>232</v>
      </c>
      <c r="B84" s="399" t="s">
        <v>1307</v>
      </c>
      <c r="C84" s="399" t="s">
        <v>150</v>
      </c>
      <c r="D84" s="399"/>
      <c r="E84" s="399"/>
      <c r="F84" s="399"/>
      <c r="G84" s="10">
        <f t="shared" si="11"/>
        <v>0</v>
      </c>
      <c r="H84" s="10">
        <f t="shared" si="11"/>
        <v>0</v>
      </c>
    </row>
    <row r="85" spans="1:8" ht="31.5" hidden="1" x14ac:dyDescent="0.25">
      <c r="A85" s="45" t="s">
        <v>237</v>
      </c>
      <c r="B85" s="399" t="s">
        <v>1307</v>
      </c>
      <c r="C85" s="399" t="s">
        <v>150</v>
      </c>
      <c r="D85" s="399" t="s">
        <v>238</v>
      </c>
      <c r="E85" s="399"/>
      <c r="F85" s="399"/>
      <c r="G85" s="10">
        <f t="shared" si="11"/>
        <v>0</v>
      </c>
      <c r="H85" s="10">
        <f t="shared" si="11"/>
        <v>0</v>
      </c>
    </row>
    <row r="86" spans="1:8" ht="47.25" hidden="1" x14ac:dyDescent="0.25">
      <c r="A86" s="234" t="s">
        <v>1044</v>
      </c>
      <c r="B86" s="392" t="s">
        <v>1308</v>
      </c>
      <c r="C86" s="399" t="s">
        <v>150</v>
      </c>
      <c r="D86" s="399" t="s">
        <v>238</v>
      </c>
      <c r="E86" s="399"/>
      <c r="F86" s="399"/>
      <c r="G86" s="10">
        <f t="shared" si="11"/>
        <v>0</v>
      </c>
      <c r="H86" s="10">
        <f t="shared" si="11"/>
        <v>0</v>
      </c>
    </row>
    <row r="87" spans="1:8" ht="31.5" hidden="1" x14ac:dyDescent="0.25">
      <c r="A87" s="396" t="s">
        <v>131</v>
      </c>
      <c r="B87" s="392" t="s">
        <v>1308</v>
      </c>
      <c r="C87" s="399" t="s">
        <v>150</v>
      </c>
      <c r="D87" s="399" t="s">
        <v>238</v>
      </c>
      <c r="E87" s="399" t="s">
        <v>132</v>
      </c>
      <c r="F87" s="399"/>
      <c r="G87" s="10">
        <f t="shared" si="11"/>
        <v>0</v>
      </c>
      <c r="H87" s="10">
        <f t="shared" si="11"/>
        <v>0</v>
      </c>
    </row>
    <row r="88" spans="1:8" ht="47.25" hidden="1" x14ac:dyDescent="0.25">
      <c r="A88" s="396" t="s">
        <v>133</v>
      </c>
      <c r="B88" s="392" t="s">
        <v>1308</v>
      </c>
      <c r="C88" s="399" t="s">
        <v>150</v>
      </c>
      <c r="D88" s="399" t="s">
        <v>238</v>
      </c>
      <c r="E88" s="399" t="s">
        <v>134</v>
      </c>
      <c r="F88" s="399"/>
      <c r="G88" s="10">
        <f>'пр.6.1.ведом.22-23 (2)'!G288</f>
        <v>0</v>
      </c>
      <c r="H88" s="10">
        <f>'пр.6.1.ведом.22-23 (2)'!H288</f>
        <v>0</v>
      </c>
    </row>
    <row r="89" spans="1:8" ht="47.25" hidden="1" x14ac:dyDescent="0.25">
      <c r="A89" s="45" t="s">
        <v>261</v>
      </c>
      <c r="B89" s="392" t="s">
        <v>1308</v>
      </c>
      <c r="C89" s="399" t="s">
        <v>150</v>
      </c>
      <c r="D89" s="399" t="s">
        <v>238</v>
      </c>
      <c r="E89" s="399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ht="47.25" hidden="1" x14ac:dyDescent="0.25">
      <c r="A90" s="402" t="s">
        <v>1103</v>
      </c>
      <c r="B90" s="395" t="s">
        <v>1199</v>
      </c>
      <c r="C90" s="7"/>
      <c r="D90" s="7"/>
      <c r="E90" s="7"/>
      <c r="F90" s="7"/>
      <c r="G90" s="59">
        <f t="shared" ref="G90:H94" si="12">G91</f>
        <v>0</v>
      </c>
      <c r="H90" s="59">
        <f t="shared" si="12"/>
        <v>0</v>
      </c>
    </row>
    <row r="91" spans="1:8" ht="15.75" hidden="1" x14ac:dyDescent="0.25">
      <c r="A91" s="45" t="s">
        <v>232</v>
      </c>
      <c r="B91" s="399" t="s">
        <v>1199</v>
      </c>
      <c r="C91" s="399" t="s">
        <v>150</v>
      </c>
      <c r="D91" s="399"/>
      <c r="E91" s="399"/>
      <c r="F91" s="399"/>
      <c r="G91" s="10">
        <f t="shared" si="12"/>
        <v>0</v>
      </c>
      <c r="H91" s="10">
        <f t="shared" si="12"/>
        <v>0</v>
      </c>
    </row>
    <row r="92" spans="1:8" ht="31.5" hidden="1" x14ac:dyDescent="0.25">
      <c r="A92" s="45" t="s">
        <v>237</v>
      </c>
      <c r="B92" s="399" t="s">
        <v>1199</v>
      </c>
      <c r="C92" s="399" t="s">
        <v>150</v>
      </c>
      <c r="D92" s="399" t="s">
        <v>238</v>
      </c>
      <c r="E92" s="399"/>
      <c r="F92" s="399"/>
      <c r="G92" s="10">
        <f t="shared" si="12"/>
        <v>0</v>
      </c>
      <c r="H92" s="10">
        <f t="shared" si="12"/>
        <v>0</v>
      </c>
    </row>
    <row r="93" spans="1:8" ht="31.5" hidden="1" x14ac:dyDescent="0.25">
      <c r="A93" s="215" t="s">
        <v>1104</v>
      </c>
      <c r="B93" s="392" t="s">
        <v>1200</v>
      </c>
      <c r="C93" s="399" t="s">
        <v>150</v>
      </c>
      <c r="D93" s="399" t="s">
        <v>238</v>
      </c>
      <c r="E93" s="399"/>
      <c r="F93" s="399"/>
      <c r="G93" s="10">
        <f t="shared" si="12"/>
        <v>0</v>
      </c>
      <c r="H93" s="10">
        <f t="shared" si="12"/>
        <v>0</v>
      </c>
    </row>
    <row r="94" spans="1:8" ht="31.5" hidden="1" x14ac:dyDescent="0.25">
      <c r="A94" s="396" t="s">
        <v>131</v>
      </c>
      <c r="B94" s="392" t="s">
        <v>1200</v>
      </c>
      <c r="C94" s="399" t="s">
        <v>150</v>
      </c>
      <c r="D94" s="399" t="s">
        <v>238</v>
      </c>
      <c r="E94" s="399" t="s">
        <v>132</v>
      </c>
      <c r="F94" s="399"/>
      <c r="G94" s="10">
        <f t="shared" si="12"/>
        <v>0</v>
      </c>
      <c r="H94" s="10">
        <f t="shared" si="12"/>
        <v>0</v>
      </c>
    </row>
    <row r="95" spans="1:8" ht="47.25" hidden="1" x14ac:dyDescent="0.25">
      <c r="A95" s="396" t="s">
        <v>133</v>
      </c>
      <c r="B95" s="392" t="s">
        <v>1200</v>
      </c>
      <c r="C95" s="399" t="s">
        <v>150</v>
      </c>
      <c r="D95" s="399" t="s">
        <v>238</v>
      </c>
      <c r="E95" s="399" t="s">
        <v>134</v>
      </c>
      <c r="F95" s="399"/>
      <c r="G95" s="10">
        <f>'пр.6.1.ведом.22-23 (2)'!G292</f>
        <v>0</v>
      </c>
      <c r="H95" s="10">
        <f>'пр.6.1.ведом.22-23 (2)'!H292</f>
        <v>0</v>
      </c>
    </row>
    <row r="96" spans="1:8" ht="47.25" hidden="1" x14ac:dyDescent="0.25">
      <c r="A96" s="45" t="s">
        <v>261</v>
      </c>
      <c r="B96" s="392" t="s">
        <v>1200</v>
      </c>
      <c r="C96" s="399" t="s">
        <v>150</v>
      </c>
      <c r="D96" s="399" t="s">
        <v>238</v>
      </c>
      <c r="E96" s="399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ht="94.5" x14ac:dyDescent="0.25">
      <c r="A97" s="400" t="s">
        <v>1347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ht="63" x14ac:dyDescent="0.25">
      <c r="A98" s="232" t="s">
        <v>1045</v>
      </c>
      <c r="B98" s="7" t="s">
        <v>908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ht="15.75" x14ac:dyDescent="0.25">
      <c r="A99" s="45" t="s">
        <v>117</v>
      </c>
      <c r="B99" s="399" t="s">
        <v>908</v>
      </c>
      <c r="C99" s="399" t="s">
        <v>118</v>
      </c>
      <c r="D99" s="399"/>
      <c r="E99" s="399"/>
      <c r="F99" s="9"/>
      <c r="G99" s="10">
        <f t="shared" ref="G99:H102" si="13">G100</f>
        <v>200</v>
      </c>
      <c r="H99" s="10">
        <f t="shared" si="13"/>
        <v>500</v>
      </c>
    </row>
    <row r="100" spans="1:8" ht="15.75" x14ac:dyDescent="0.25">
      <c r="A100" s="45" t="s">
        <v>139</v>
      </c>
      <c r="B100" s="399" t="s">
        <v>908</v>
      </c>
      <c r="C100" s="399" t="s">
        <v>118</v>
      </c>
      <c r="D100" s="399" t="s">
        <v>140</v>
      </c>
      <c r="E100" s="399"/>
      <c r="F100" s="9"/>
      <c r="G100" s="10">
        <f>G101</f>
        <v>200</v>
      </c>
      <c r="H100" s="10">
        <f>H101</f>
        <v>500</v>
      </c>
    </row>
    <row r="101" spans="1:8" ht="47.25" x14ac:dyDescent="0.25">
      <c r="A101" s="98" t="s">
        <v>1046</v>
      </c>
      <c r="B101" s="399" t="s">
        <v>1196</v>
      </c>
      <c r="C101" s="399" t="s">
        <v>118</v>
      </c>
      <c r="D101" s="399" t="s">
        <v>140</v>
      </c>
      <c r="E101" s="399"/>
      <c r="F101" s="9"/>
      <c r="G101" s="10">
        <f t="shared" si="13"/>
        <v>200</v>
      </c>
      <c r="H101" s="10">
        <f t="shared" si="13"/>
        <v>500</v>
      </c>
    </row>
    <row r="102" spans="1:8" ht="31.5" x14ac:dyDescent="0.25">
      <c r="A102" s="29" t="s">
        <v>131</v>
      </c>
      <c r="B102" s="399" t="s">
        <v>1196</v>
      </c>
      <c r="C102" s="399" t="s">
        <v>118</v>
      </c>
      <c r="D102" s="399" t="s">
        <v>140</v>
      </c>
      <c r="E102" s="399" t="s">
        <v>132</v>
      </c>
      <c r="F102" s="9"/>
      <c r="G102" s="10">
        <f t="shared" si="13"/>
        <v>200</v>
      </c>
      <c r="H102" s="10">
        <f t="shared" si="13"/>
        <v>500</v>
      </c>
    </row>
    <row r="103" spans="1:8" ht="47.25" x14ac:dyDescent="0.25">
      <c r="A103" s="29" t="s">
        <v>133</v>
      </c>
      <c r="B103" s="399" t="s">
        <v>1196</v>
      </c>
      <c r="C103" s="399" t="s">
        <v>118</v>
      </c>
      <c r="D103" s="399" t="s">
        <v>140</v>
      </c>
      <c r="E103" s="399" t="s">
        <v>134</v>
      </c>
      <c r="F103" s="9"/>
      <c r="G103" s="10">
        <f>'пр.6.1.ведом.22-23 (2)'!G250</f>
        <v>200</v>
      </c>
      <c r="H103" s="10">
        <f>'пр.6.1.ведом.22-23 (2)'!H250</f>
        <v>500</v>
      </c>
    </row>
    <row r="104" spans="1:8" ht="47.25" x14ac:dyDescent="0.25">
      <c r="A104" s="45" t="s">
        <v>261</v>
      </c>
      <c r="B104" s="399" t="s">
        <v>1196</v>
      </c>
      <c r="C104" s="399" t="s">
        <v>118</v>
      </c>
      <c r="D104" s="399" t="s">
        <v>140</v>
      </c>
      <c r="E104" s="399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ht="47.25" hidden="1" x14ac:dyDescent="0.25">
      <c r="A105" s="35" t="s">
        <v>885</v>
      </c>
      <c r="B105" s="392" t="s">
        <v>1295</v>
      </c>
      <c r="C105" s="399" t="s">
        <v>118</v>
      </c>
      <c r="D105" s="399" t="s">
        <v>140</v>
      </c>
      <c r="E105" s="399"/>
      <c r="F105" s="9"/>
      <c r="G105" s="10" t="e">
        <f>G106</f>
        <v>#REF!</v>
      </c>
      <c r="H105" s="10" t="e">
        <f>H106</f>
        <v>#REF!</v>
      </c>
    </row>
    <row r="106" spans="1:8" ht="31.5" hidden="1" x14ac:dyDescent="0.25">
      <c r="A106" s="396" t="s">
        <v>131</v>
      </c>
      <c r="B106" s="392" t="s">
        <v>1295</v>
      </c>
      <c r="C106" s="399" t="s">
        <v>118</v>
      </c>
      <c r="D106" s="399" t="s">
        <v>140</v>
      </c>
      <c r="E106" s="399" t="s">
        <v>132</v>
      </c>
      <c r="F106" s="9"/>
      <c r="G106" s="10" t="e">
        <f>G107</f>
        <v>#REF!</v>
      </c>
      <c r="H106" s="10" t="e">
        <f>H107</f>
        <v>#REF!</v>
      </c>
    </row>
    <row r="107" spans="1:8" ht="47.25" hidden="1" x14ac:dyDescent="0.25">
      <c r="A107" s="396" t="s">
        <v>133</v>
      </c>
      <c r="B107" s="392" t="s">
        <v>1295</v>
      </c>
      <c r="C107" s="399" t="s">
        <v>118</v>
      </c>
      <c r="D107" s="399" t="s">
        <v>140</v>
      </c>
      <c r="E107" s="399" t="s">
        <v>134</v>
      </c>
      <c r="F107" s="9"/>
      <c r="G107" s="10" t="e">
        <f>'пр.6.1.ведом.22-23 (2)'!#REF!</f>
        <v>#REF!</v>
      </c>
      <c r="H107" s="10" t="e">
        <f>'пр.6.1.ведом.22-23 (2)'!#REF!</f>
        <v>#REF!</v>
      </c>
    </row>
    <row r="108" spans="1:8" ht="47.25" hidden="1" x14ac:dyDescent="0.25">
      <c r="A108" s="45" t="s">
        <v>261</v>
      </c>
      <c r="B108" s="392" t="s">
        <v>1295</v>
      </c>
      <c r="C108" s="399" t="s">
        <v>118</v>
      </c>
      <c r="D108" s="399" t="s">
        <v>140</v>
      </c>
      <c r="E108" s="399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394" t="s">
        <v>1038</v>
      </c>
      <c r="B110" s="395" t="s">
        <v>912</v>
      </c>
      <c r="C110" s="399"/>
      <c r="D110" s="399"/>
      <c r="E110" s="399"/>
      <c r="F110" s="399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399" t="s">
        <v>912</v>
      </c>
      <c r="C111" s="399" t="s">
        <v>244</v>
      </c>
      <c r="D111" s="399"/>
      <c r="E111" s="399"/>
      <c r="F111" s="399"/>
      <c r="G111" s="10">
        <f t="shared" ref="G111:H114" si="14">G112</f>
        <v>630</v>
      </c>
      <c r="H111" s="10">
        <f t="shared" si="14"/>
        <v>630</v>
      </c>
    </row>
    <row r="112" spans="1:8" ht="15.75" x14ac:dyDescent="0.25">
      <c r="A112" s="45" t="s">
        <v>252</v>
      </c>
      <c r="B112" s="399" t="s">
        <v>912</v>
      </c>
      <c r="C112" s="399" t="s">
        <v>244</v>
      </c>
      <c r="D112" s="399" t="s">
        <v>215</v>
      </c>
      <c r="E112" s="399"/>
      <c r="F112" s="399"/>
      <c r="G112" s="10">
        <f>G113</f>
        <v>630</v>
      </c>
      <c r="H112" s="10">
        <f>H113</f>
        <v>630</v>
      </c>
    </row>
    <row r="113" spans="1:8" ht="63" x14ac:dyDescent="0.25">
      <c r="A113" s="98" t="s">
        <v>1039</v>
      </c>
      <c r="B113" s="392" t="s">
        <v>1222</v>
      </c>
      <c r="C113" s="399" t="s">
        <v>244</v>
      </c>
      <c r="D113" s="399" t="s">
        <v>215</v>
      </c>
      <c r="E113" s="399"/>
      <c r="F113" s="399"/>
      <c r="G113" s="10">
        <f t="shared" si="14"/>
        <v>630</v>
      </c>
      <c r="H113" s="10">
        <f t="shared" si="14"/>
        <v>630</v>
      </c>
    </row>
    <row r="114" spans="1:8" ht="31.5" x14ac:dyDescent="0.25">
      <c r="A114" s="396" t="s">
        <v>248</v>
      </c>
      <c r="B114" s="392" t="s">
        <v>1222</v>
      </c>
      <c r="C114" s="399" t="s">
        <v>244</v>
      </c>
      <c r="D114" s="399" t="s">
        <v>215</v>
      </c>
      <c r="E114" s="399" t="s">
        <v>249</v>
      </c>
      <c r="F114" s="399"/>
      <c r="G114" s="10">
        <f t="shared" si="14"/>
        <v>630</v>
      </c>
      <c r="H114" s="10">
        <f t="shared" si="14"/>
        <v>630</v>
      </c>
    </row>
    <row r="115" spans="1:8" ht="31.5" x14ac:dyDescent="0.25">
      <c r="A115" s="396" t="s">
        <v>348</v>
      </c>
      <c r="B115" s="392" t="s">
        <v>1222</v>
      </c>
      <c r="C115" s="399" t="s">
        <v>244</v>
      </c>
      <c r="D115" s="399" t="s">
        <v>215</v>
      </c>
      <c r="E115" s="399" t="s">
        <v>349</v>
      </c>
      <c r="F115" s="399"/>
      <c r="G115" s="10">
        <f>'пр.6.1.ведом.22-23 (2)'!G457</f>
        <v>630</v>
      </c>
      <c r="H115" s="10">
        <f>'пр.6.1.ведом.22-23 (2)'!H457</f>
        <v>630</v>
      </c>
    </row>
    <row r="116" spans="1:8" ht="47.25" x14ac:dyDescent="0.25">
      <c r="A116" s="45" t="s">
        <v>261</v>
      </c>
      <c r="B116" s="392" t="s">
        <v>1222</v>
      </c>
      <c r="C116" s="399" t="s">
        <v>244</v>
      </c>
      <c r="D116" s="399" t="s">
        <v>215</v>
      </c>
      <c r="E116" s="399" t="s">
        <v>349</v>
      </c>
      <c r="F116" s="399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394" t="s">
        <v>1226</v>
      </c>
      <c r="B117" s="395" t="s">
        <v>1224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399" t="s">
        <v>1224</v>
      </c>
      <c r="C118" s="399" t="s">
        <v>244</v>
      </c>
      <c r="D118" s="399"/>
      <c r="E118" s="399"/>
      <c r="F118" s="399"/>
      <c r="G118" s="10">
        <f t="shared" ref="G118:H118" si="15">G119</f>
        <v>657</v>
      </c>
      <c r="H118" s="10">
        <f t="shared" si="15"/>
        <v>657</v>
      </c>
    </row>
    <row r="119" spans="1:8" ht="15.75" x14ac:dyDescent="0.25">
      <c r="A119" s="45" t="s">
        <v>252</v>
      </c>
      <c r="B119" s="399" t="s">
        <v>1224</v>
      </c>
      <c r="C119" s="399" t="s">
        <v>244</v>
      </c>
      <c r="D119" s="399" t="s">
        <v>215</v>
      </c>
      <c r="E119" s="399"/>
      <c r="F119" s="399"/>
      <c r="G119" s="10">
        <f>G120</f>
        <v>657</v>
      </c>
      <c r="H119" s="10">
        <f>H120</f>
        <v>657</v>
      </c>
    </row>
    <row r="120" spans="1:8" ht="31.5" x14ac:dyDescent="0.25">
      <c r="A120" s="396" t="s">
        <v>1223</v>
      </c>
      <c r="B120" s="392" t="s">
        <v>1225</v>
      </c>
      <c r="C120" s="399" t="s">
        <v>244</v>
      </c>
      <c r="D120" s="399" t="s">
        <v>215</v>
      </c>
      <c r="E120" s="399"/>
      <c r="F120" s="399"/>
      <c r="G120" s="10">
        <f>G121+G124</f>
        <v>657</v>
      </c>
      <c r="H120" s="10">
        <f>H121+H124</f>
        <v>657</v>
      </c>
    </row>
    <row r="121" spans="1:8" ht="31.5" x14ac:dyDescent="0.25">
      <c r="A121" s="396" t="s">
        <v>131</v>
      </c>
      <c r="B121" s="392" t="s">
        <v>1225</v>
      </c>
      <c r="C121" s="399" t="s">
        <v>244</v>
      </c>
      <c r="D121" s="399" t="s">
        <v>215</v>
      </c>
      <c r="E121" s="399" t="s">
        <v>132</v>
      </c>
      <c r="F121" s="399"/>
      <c r="G121" s="10">
        <f>G122</f>
        <v>400</v>
      </c>
      <c r="H121" s="10">
        <f>H122</f>
        <v>400</v>
      </c>
    </row>
    <row r="122" spans="1:8" ht="47.25" x14ac:dyDescent="0.25">
      <c r="A122" s="396" t="s">
        <v>133</v>
      </c>
      <c r="B122" s="392" t="s">
        <v>1225</v>
      </c>
      <c r="C122" s="399" t="s">
        <v>244</v>
      </c>
      <c r="D122" s="399" t="s">
        <v>215</v>
      </c>
      <c r="E122" s="399" t="s">
        <v>134</v>
      </c>
      <c r="F122" s="399"/>
      <c r="G122" s="10">
        <f>'пр.6.1.ведом.22-23 (2)'!G461</f>
        <v>400</v>
      </c>
      <c r="H122" s="10">
        <f>'пр.6.1.ведом.22-23 (2)'!H461</f>
        <v>400</v>
      </c>
    </row>
    <row r="123" spans="1:8" ht="47.25" x14ac:dyDescent="0.25">
      <c r="A123" s="45" t="s">
        <v>261</v>
      </c>
      <c r="B123" s="392" t="s">
        <v>1225</v>
      </c>
      <c r="C123" s="399" t="s">
        <v>244</v>
      </c>
      <c r="D123" s="399" t="s">
        <v>215</v>
      </c>
      <c r="E123" s="399" t="s">
        <v>134</v>
      </c>
      <c r="F123" s="399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396" t="s">
        <v>248</v>
      </c>
      <c r="B124" s="392" t="s">
        <v>1225</v>
      </c>
      <c r="C124" s="399" t="s">
        <v>244</v>
      </c>
      <c r="D124" s="399" t="s">
        <v>215</v>
      </c>
      <c r="E124" s="399" t="s">
        <v>249</v>
      </c>
      <c r="F124" s="399"/>
      <c r="G124" s="10">
        <f>G125</f>
        <v>257</v>
      </c>
      <c r="H124" s="10">
        <f>H125</f>
        <v>257</v>
      </c>
    </row>
    <row r="125" spans="1:8" ht="31.5" x14ac:dyDescent="0.25">
      <c r="A125" s="396" t="s">
        <v>348</v>
      </c>
      <c r="B125" s="392" t="s">
        <v>1225</v>
      </c>
      <c r="C125" s="399" t="s">
        <v>244</v>
      </c>
      <c r="D125" s="399" t="s">
        <v>215</v>
      </c>
      <c r="E125" s="399" t="s">
        <v>349</v>
      </c>
      <c r="F125" s="399"/>
      <c r="G125" s="10">
        <f>'пр.6.1.ведом.22-23 (2)'!G463</f>
        <v>257</v>
      </c>
      <c r="H125" s="10">
        <f>'пр.6.1.ведом.22-23 (2)'!H463</f>
        <v>257</v>
      </c>
    </row>
    <row r="126" spans="1:8" ht="47.25" x14ac:dyDescent="0.25">
      <c r="A126" s="45" t="s">
        <v>261</v>
      </c>
      <c r="B126" s="392" t="s">
        <v>1225</v>
      </c>
      <c r="C126" s="399" t="s">
        <v>244</v>
      </c>
      <c r="D126" s="399" t="s">
        <v>215</v>
      </c>
      <c r="E126" s="399" t="s">
        <v>349</v>
      </c>
      <c r="F126" s="399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394" t="s">
        <v>996</v>
      </c>
      <c r="B127" s="395" t="s">
        <v>1219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396" t="s">
        <v>298</v>
      </c>
      <c r="B128" s="392" t="s">
        <v>1219</v>
      </c>
      <c r="C128" s="399" t="s">
        <v>299</v>
      </c>
      <c r="D128" s="399"/>
      <c r="E128" s="7"/>
      <c r="F128" s="7"/>
      <c r="G128" s="10">
        <f t="shared" ref="G128:H131" si="16">G129</f>
        <v>260</v>
      </c>
      <c r="H128" s="10">
        <f t="shared" si="16"/>
        <v>285</v>
      </c>
    </row>
    <row r="129" spans="1:8" ht="15.75" x14ac:dyDescent="0.25">
      <c r="A129" s="396" t="s">
        <v>300</v>
      </c>
      <c r="B129" s="392" t="s">
        <v>1219</v>
      </c>
      <c r="C129" s="399" t="s">
        <v>299</v>
      </c>
      <c r="D129" s="399" t="s">
        <v>150</v>
      </c>
      <c r="E129" s="7"/>
      <c r="F129" s="7"/>
      <c r="G129" s="10">
        <f t="shared" si="16"/>
        <v>260</v>
      </c>
      <c r="H129" s="10">
        <f t="shared" si="16"/>
        <v>285</v>
      </c>
    </row>
    <row r="130" spans="1:8" ht="31.5" x14ac:dyDescent="0.25">
      <c r="A130" s="396" t="s">
        <v>995</v>
      </c>
      <c r="B130" s="392" t="s">
        <v>1220</v>
      </c>
      <c r="C130" s="399" t="s">
        <v>299</v>
      </c>
      <c r="D130" s="399" t="s">
        <v>150</v>
      </c>
      <c r="E130" s="7"/>
      <c r="F130" s="7"/>
      <c r="G130" s="10">
        <f t="shared" si="16"/>
        <v>260</v>
      </c>
      <c r="H130" s="10">
        <f t="shared" si="16"/>
        <v>285</v>
      </c>
    </row>
    <row r="131" spans="1:8" ht="31.5" x14ac:dyDescent="0.25">
      <c r="A131" s="396" t="s">
        <v>131</v>
      </c>
      <c r="B131" s="392" t="s">
        <v>1220</v>
      </c>
      <c r="C131" s="399" t="s">
        <v>299</v>
      </c>
      <c r="D131" s="399" t="s">
        <v>150</v>
      </c>
      <c r="E131" s="399" t="s">
        <v>132</v>
      </c>
      <c r="F131" s="399"/>
      <c r="G131" s="10">
        <f t="shared" si="16"/>
        <v>260</v>
      </c>
      <c r="H131" s="10">
        <f t="shared" si="16"/>
        <v>285</v>
      </c>
    </row>
    <row r="132" spans="1:8" ht="47.25" x14ac:dyDescent="0.25">
      <c r="A132" s="396" t="s">
        <v>133</v>
      </c>
      <c r="B132" s="392" t="s">
        <v>1220</v>
      </c>
      <c r="C132" s="399" t="s">
        <v>299</v>
      </c>
      <c r="D132" s="399" t="s">
        <v>150</v>
      </c>
      <c r="E132" s="399" t="s">
        <v>134</v>
      </c>
      <c r="F132" s="399"/>
      <c r="G132" s="10">
        <f>'пр.6.1.ведом.22-23 (2)'!G439</f>
        <v>260</v>
      </c>
      <c r="H132" s="10">
        <f>'пр.6.1.ведом.22-23 (2)'!H439</f>
        <v>285</v>
      </c>
    </row>
    <row r="133" spans="1:8" ht="47.25" x14ac:dyDescent="0.25">
      <c r="A133" s="45" t="s">
        <v>261</v>
      </c>
      <c r="B133" s="392" t="s">
        <v>1220</v>
      </c>
      <c r="C133" s="399" t="s">
        <v>299</v>
      </c>
      <c r="D133" s="399" t="s">
        <v>150</v>
      </c>
      <c r="E133" s="399" t="s">
        <v>134</v>
      </c>
      <c r="F133" s="399" t="s">
        <v>627</v>
      </c>
      <c r="G133" s="10">
        <f>G132</f>
        <v>260</v>
      </c>
      <c r="H133" s="10">
        <f>H132</f>
        <v>285</v>
      </c>
    </row>
    <row r="134" spans="1:8" ht="15.75" x14ac:dyDescent="0.25">
      <c r="A134" s="45" t="s">
        <v>243</v>
      </c>
      <c r="B134" s="392" t="s">
        <v>1219</v>
      </c>
      <c r="C134" s="399" t="s">
        <v>244</v>
      </c>
      <c r="D134" s="399"/>
      <c r="E134" s="399"/>
      <c r="F134" s="399"/>
      <c r="G134" s="10">
        <f t="shared" ref="G134:H137" si="17">G135</f>
        <v>420</v>
      </c>
      <c r="H134" s="10">
        <f t="shared" si="17"/>
        <v>450</v>
      </c>
    </row>
    <row r="135" spans="1:8" ht="15.75" x14ac:dyDescent="0.25">
      <c r="A135" s="45" t="s">
        <v>252</v>
      </c>
      <c r="B135" s="392" t="s">
        <v>1219</v>
      </c>
      <c r="C135" s="399" t="s">
        <v>244</v>
      </c>
      <c r="D135" s="399" t="s">
        <v>215</v>
      </c>
      <c r="E135" s="399"/>
      <c r="F135" s="399"/>
      <c r="G135" s="10">
        <f t="shared" si="17"/>
        <v>420</v>
      </c>
      <c r="H135" s="10">
        <f t="shared" si="17"/>
        <v>450</v>
      </c>
    </row>
    <row r="136" spans="1:8" ht="15.75" x14ac:dyDescent="0.25">
      <c r="A136" s="396" t="s">
        <v>1036</v>
      </c>
      <c r="B136" s="392" t="s">
        <v>1221</v>
      </c>
      <c r="C136" s="399" t="s">
        <v>244</v>
      </c>
      <c r="D136" s="399" t="s">
        <v>215</v>
      </c>
      <c r="E136" s="399"/>
      <c r="F136" s="399"/>
      <c r="G136" s="10">
        <f t="shared" si="17"/>
        <v>420</v>
      </c>
      <c r="H136" s="10">
        <f t="shared" si="17"/>
        <v>450</v>
      </c>
    </row>
    <row r="137" spans="1:8" ht="31.5" x14ac:dyDescent="0.25">
      <c r="A137" s="396" t="s">
        <v>248</v>
      </c>
      <c r="B137" s="392" t="s">
        <v>1221</v>
      </c>
      <c r="C137" s="399" t="s">
        <v>244</v>
      </c>
      <c r="D137" s="399" t="s">
        <v>215</v>
      </c>
      <c r="E137" s="399" t="s">
        <v>249</v>
      </c>
      <c r="F137" s="399"/>
      <c r="G137" s="10">
        <f t="shared" si="17"/>
        <v>420</v>
      </c>
      <c r="H137" s="10">
        <f t="shared" si="17"/>
        <v>450</v>
      </c>
    </row>
    <row r="138" spans="1:8" ht="31.5" x14ac:dyDescent="0.25">
      <c r="A138" s="396" t="s">
        <v>348</v>
      </c>
      <c r="B138" s="392" t="s">
        <v>1221</v>
      </c>
      <c r="C138" s="399" t="s">
        <v>244</v>
      </c>
      <c r="D138" s="399" t="s">
        <v>215</v>
      </c>
      <c r="E138" s="399" t="s">
        <v>349</v>
      </c>
      <c r="F138" s="399"/>
      <c r="G138" s="10">
        <f>'[1]Пр.5 ведом.21'!G456</f>
        <v>420</v>
      </c>
      <c r="H138" s="10">
        <f>'пр.6.1.ведом.22-23 (2)'!H467</f>
        <v>450</v>
      </c>
    </row>
    <row r="139" spans="1:8" ht="47.25" x14ac:dyDescent="0.25">
      <c r="A139" s="45" t="s">
        <v>261</v>
      </c>
      <c r="B139" s="392" t="s">
        <v>1221</v>
      </c>
      <c r="C139" s="399" t="s">
        <v>244</v>
      </c>
      <c r="D139" s="399" t="s">
        <v>215</v>
      </c>
      <c r="E139" s="399" t="s">
        <v>349</v>
      </c>
      <c r="F139" s="399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1357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394" t="s">
        <v>936</v>
      </c>
      <c r="B141" s="395" t="s">
        <v>1228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399" t="s">
        <v>1228</v>
      </c>
      <c r="C142" s="399" t="s">
        <v>264</v>
      </c>
      <c r="D142" s="399"/>
      <c r="E142" s="399"/>
      <c r="F142" s="399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399" t="s">
        <v>1228</v>
      </c>
      <c r="C143" s="399" t="s">
        <v>264</v>
      </c>
      <c r="D143" s="399" t="s">
        <v>118</v>
      </c>
      <c r="E143" s="399"/>
      <c r="F143" s="399"/>
      <c r="G143" s="10">
        <f>G144</f>
        <v>14795.6</v>
      </c>
      <c r="H143" s="10">
        <f>H144</f>
        <v>14795.6</v>
      </c>
    </row>
    <row r="144" spans="1:8" ht="47.25" x14ac:dyDescent="0.25">
      <c r="A144" s="396" t="s">
        <v>1227</v>
      </c>
      <c r="B144" s="392" t="s">
        <v>1229</v>
      </c>
      <c r="C144" s="399" t="s">
        <v>264</v>
      </c>
      <c r="D144" s="399" t="s">
        <v>118</v>
      </c>
      <c r="E144" s="399"/>
      <c r="F144" s="399"/>
      <c r="G144" s="10">
        <f t="shared" ref="G144:H145" si="18">G145</f>
        <v>14795.6</v>
      </c>
      <c r="H144" s="10">
        <f t="shared" si="18"/>
        <v>14795.6</v>
      </c>
    </row>
    <row r="145" spans="1:8" ht="47.25" x14ac:dyDescent="0.25">
      <c r="A145" s="396" t="s">
        <v>272</v>
      </c>
      <c r="B145" s="392" t="s">
        <v>1229</v>
      </c>
      <c r="C145" s="399" t="s">
        <v>264</v>
      </c>
      <c r="D145" s="399" t="s">
        <v>118</v>
      </c>
      <c r="E145" s="399" t="s">
        <v>273</v>
      </c>
      <c r="F145" s="399"/>
      <c r="G145" s="10">
        <f t="shared" si="18"/>
        <v>14795.6</v>
      </c>
      <c r="H145" s="10">
        <f t="shared" si="18"/>
        <v>14795.6</v>
      </c>
    </row>
    <row r="146" spans="1:8" ht="15.75" x14ac:dyDescent="0.25">
      <c r="A146" s="396" t="s">
        <v>274</v>
      </c>
      <c r="B146" s="392" t="s">
        <v>1229</v>
      </c>
      <c r="C146" s="399" t="s">
        <v>264</v>
      </c>
      <c r="D146" s="399" t="s">
        <v>118</v>
      </c>
      <c r="E146" s="399" t="s">
        <v>275</v>
      </c>
      <c r="F146" s="399"/>
      <c r="G146" s="389">
        <f>'пр.6.1.ведом.22-23 (2)'!G554</f>
        <v>14795.6</v>
      </c>
      <c r="H146" s="389">
        <f>'пр.6.1.ведом.22-23 (2)'!H554</f>
        <v>14795.6</v>
      </c>
    </row>
    <row r="147" spans="1:8" ht="31.5" x14ac:dyDescent="0.25">
      <c r="A147" s="29" t="s">
        <v>403</v>
      </c>
      <c r="B147" s="392" t="s">
        <v>1229</v>
      </c>
      <c r="C147" s="399" t="s">
        <v>264</v>
      </c>
      <c r="D147" s="399" t="s">
        <v>118</v>
      </c>
      <c r="E147" s="399" t="s">
        <v>275</v>
      </c>
      <c r="F147" s="399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399" t="s">
        <v>1228</v>
      </c>
      <c r="C148" s="399" t="s">
        <v>264</v>
      </c>
      <c r="D148" s="399" t="s">
        <v>213</v>
      </c>
      <c r="E148" s="399"/>
      <c r="F148" s="399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396" t="s">
        <v>427</v>
      </c>
      <c r="B149" s="392" t="s">
        <v>1247</v>
      </c>
      <c r="C149" s="399" t="s">
        <v>264</v>
      </c>
      <c r="D149" s="399" t="s">
        <v>213</v>
      </c>
      <c r="E149" s="399"/>
      <c r="F149" s="399"/>
      <c r="G149" s="10">
        <f t="shared" ref="G149:H150" si="19">G150</f>
        <v>28690.799999999999</v>
      </c>
      <c r="H149" s="10">
        <f t="shared" si="19"/>
        <v>28690.799999999999</v>
      </c>
    </row>
    <row r="150" spans="1:8" ht="47.25" x14ac:dyDescent="0.25">
      <c r="A150" s="396" t="s">
        <v>272</v>
      </c>
      <c r="B150" s="392" t="s">
        <v>1247</v>
      </c>
      <c r="C150" s="399" t="s">
        <v>264</v>
      </c>
      <c r="D150" s="399" t="s">
        <v>213</v>
      </c>
      <c r="E150" s="399" t="s">
        <v>273</v>
      </c>
      <c r="F150" s="399"/>
      <c r="G150" s="10">
        <f t="shared" si="19"/>
        <v>28690.799999999999</v>
      </c>
      <c r="H150" s="10">
        <f t="shared" si="19"/>
        <v>28690.799999999999</v>
      </c>
    </row>
    <row r="151" spans="1:8" ht="15.75" x14ac:dyDescent="0.25">
      <c r="A151" s="396" t="s">
        <v>274</v>
      </c>
      <c r="B151" s="392" t="s">
        <v>1247</v>
      </c>
      <c r="C151" s="399" t="s">
        <v>264</v>
      </c>
      <c r="D151" s="399" t="s">
        <v>213</v>
      </c>
      <c r="E151" s="399" t="s">
        <v>275</v>
      </c>
      <c r="F151" s="399"/>
      <c r="G151" s="389">
        <f>'пр.6.1.ведом.22-23 (2)'!G614</f>
        <v>28690.799999999999</v>
      </c>
      <c r="H151" s="389">
        <f>'пр.6.1.ведом.22-23 (2)'!H614</f>
        <v>28690.799999999999</v>
      </c>
    </row>
    <row r="152" spans="1:8" ht="31.5" x14ac:dyDescent="0.25">
      <c r="A152" s="29" t="s">
        <v>403</v>
      </c>
      <c r="B152" s="392" t="s">
        <v>1247</v>
      </c>
      <c r="C152" s="399" t="s">
        <v>264</v>
      </c>
      <c r="D152" s="399" t="s">
        <v>213</v>
      </c>
      <c r="E152" s="399" t="s">
        <v>275</v>
      </c>
      <c r="F152" s="399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399" t="s">
        <v>1228</v>
      </c>
      <c r="C153" s="399" t="s">
        <v>264</v>
      </c>
      <c r="D153" s="399" t="s">
        <v>215</v>
      </c>
      <c r="E153" s="399"/>
      <c r="F153" s="399"/>
      <c r="G153" s="389">
        <f t="shared" ref="G153:H155" si="20">G154</f>
        <v>37056.300000000003</v>
      </c>
      <c r="H153" s="389">
        <f t="shared" si="20"/>
        <v>37056.300000000003</v>
      </c>
    </row>
    <row r="154" spans="1:8" ht="47.25" x14ac:dyDescent="0.25">
      <c r="A154" s="29" t="s">
        <v>270</v>
      </c>
      <c r="B154" s="392" t="s">
        <v>1258</v>
      </c>
      <c r="C154" s="399" t="s">
        <v>264</v>
      </c>
      <c r="D154" s="399" t="s">
        <v>215</v>
      </c>
      <c r="E154" s="7"/>
      <c r="F154" s="7"/>
      <c r="G154" s="10">
        <f t="shared" si="20"/>
        <v>37056.300000000003</v>
      </c>
      <c r="H154" s="10">
        <f t="shared" si="20"/>
        <v>37056.300000000003</v>
      </c>
    </row>
    <row r="155" spans="1:8" ht="47.25" x14ac:dyDescent="0.25">
      <c r="A155" s="29" t="s">
        <v>272</v>
      </c>
      <c r="B155" s="392" t="s">
        <v>1258</v>
      </c>
      <c r="C155" s="399" t="s">
        <v>264</v>
      </c>
      <c r="D155" s="399" t="s">
        <v>215</v>
      </c>
      <c r="E155" s="399" t="s">
        <v>273</v>
      </c>
      <c r="F155" s="399"/>
      <c r="G155" s="10">
        <f t="shared" si="20"/>
        <v>37056.300000000003</v>
      </c>
      <c r="H155" s="10">
        <f t="shared" si="20"/>
        <v>37056.300000000003</v>
      </c>
    </row>
    <row r="156" spans="1:8" ht="15.75" x14ac:dyDescent="0.25">
      <c r="A156" s="29" t="s">
        <v>274</v>
      </c>
      <c r="B156" s="392" t="s">
        <v>1258</v>
      </c>
      <c r="C156" s="399" t="s">
        <v>264</v>
      </c>
      <c r="D156" s="399" t="s">
        <v>215</v>
      </c>
      <c r="E156" s="399" t="s">
        <v>275</v>
      </c>
      <c r="F156" s="399"/>
      <c r="G156" s="389">
        <f>'пр.6.1.ведом.22-23 (2)'!G696</f>
        <v>37056.300000000003</v>
      </c>
      <c r="H156" s="389">
        <f>'пр.6.1.ведом.22-23 (2)'!H696</f>
        <v>37056.300000000003</v>
      </c>
    </row>
    <row r="157" spans="1:8" ht="31.5" x14ac:dyDescent="0.25">
      <c r="A157" s="29" t="s">
        <v>403</v>
      </c>
      <c r="B157" s="392" t="s">
        <v>1258</v>
      </c>
      <c r="C157" s="399" t="s">
        <v>264</v>
      </c>
      <c r="D157" s="399" t="s">
        <v>215</v>
      </c>
      <c r="E157" s="399" t="s">
        <v>275</v>
      </c>
      <c r="F157" s="399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394" t="s">
        <v>899</v>
      </c>
      <c r="B158" s="395" t="s">
        <v>1230</v>
      </c>
      <c r="C158" s="7"/>
      <c r="D158" s="7"/>
      <c r="E158" s="7"/>
      <c r="F158" s="7"/>
      <c r="G158" s="388">
        <f>G159</f>
        <v>209060.9</v>
      </c>
      <c r="H158" s="388">
        <f>H159</f>
        <v>232587.40000000002</v>
      </c>
    </row>
    <row r="159" spans="1:8" ht="15.75" x14ac:dyDescent="0.25">
      <c r="A159" s="29" t="s">
        <v>263</v>
      </c>
      <c r="B159" s="399" t="s">
        <v>1230</v>
      </c>
      <c r="C159" s="399" t="s">
        <v>264</v>
      </c>
      <c r="D159" s="399"/>
      <c r="E159" s="399"/>
      <c r="F159" s="399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399" t="s">
        <v>1230</v>
      </c>
      <c r="C160" s="399" t="s">
        <v>264</v>
      </c>
      <c r="D160" s="399" t="s">
        <v>118</v>
      </c>
      <c r="E160" s="399"/>
      <c r="F160" s="399"/>
      <c r="G160" s="10">
        <f>G165+G169+G173+G161</f>
        <v>75561.5</v>
      </c>
      <c r="H160" s="10">
        <f>H165+H169+H173+H161</f>
        <v>79924.100000000006</v>
      </c>
    </row>
    <row r="161" spans="1:8" ht="110.25" x14ac:dyDescent="0.25">
      <c r="A161" s="31" t="s">
        <v>293</v>
      </c>
      <c r="B161" s="392" t="s">
        <v>1389</v>
      </c>
      <c r="C161" s="399" t="s">
        <v>264</v>
      </c>
      <c r="D161" s="399" t="s">
        <v>118</v>
      </c>
      <c r="E161" s="399"/>
      <c r="F161" s="399"/>
      <c r="G161" s="389">
        <f>G162</f>
        <v>3230</v>
      </c>
      <c r="H161" s="389">
        <f>H162</f>
        <v>3230</v>
      </c>
    </row>
    <row r="162" spans="1:8" ht="47.25" x14ac:dyDescent="0.25">
      <c r="A162" s="396" t="s">
        <v>272</v>
      </c>
      <c r="B162" s="392" t="s">
        <v>1389</v>
      </c>
      <c r="C162" s="399" t="s">
        <v>264</v>
      </c>
      <c r="D162" s="399" t="s">
        <v>118</v>
      </c>
      <c r="E162" s="399" t="s">
        <v>273</v>
      </c>
      <c r="F162" s="399"/>
      <c r="G162" s="389">
        <f>G163</f>
        <v>3230</v>
      </c>
      <c r="H162" s="389">
        <f>H163</f>
        <v>3230</v>
      </c>
    </row>
    <row r="163" spans="1:8" ht="15.75" x14ac:dyDescent="0.25">
      <c r="A163" s="396" t="s">
        <v>274</v>
      </c>
      <c r="B163" s="392" t="s">
        <v>1389</v>
      </c>
      <c r="C163" s="399" t="s">
        <v>264</v>
      </c>
      <c r="D163" s="399" t="s">
        <v>118</v>
      </c>
      <c r="E163" s="399" t="s">
        <v>275</v>
      </c>
      <c r="F163" s="399"/>
      <c r="G163" s="389">
        <f>'пр.6.1.ведом.22-23 (2)'!G558</f>
        <v>3230</v>
      </c>
      <c r="H163" s="389">
        <f>'пр.6.1.ведом.22-23 (2)'!H558</f>
        <v>3230</v>
      </c>
    </row>
    <row r="164" spans="1:8" ht="31.5" x14ac:dyDescent="0.25">
      <c r="A164" s="29" t="s">
        <v>403</v>
      </c>
      <c r="B164" s="392" t="s">
        <v>1389</v>
      </c>
      <c r="C164" s="399" t="s">
        <v>264</v>
      </c>
      <c r="D164" s="399" t="s">
        <v>118</v>
      </c>
      <c r="E164" s="399" t="s">
        <v>275</v>
      </c>
      <c r="F164" s="399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392" t="s">
        <v>1231</v>
      </c>
      <c r="C165" s="399" t="s">
        <v>264</v>
      </c>
      <c r="D165" s="399" t="s">
        <v>118</v>
      </c>
      <c r="E165" s="399"/>
      <c r="F165" s="399"/>
      <c r="G165" s="389">
        <f>G166</f>
        <v>589</v>
      </c>
      <c r="H165" s="389">
        <f>H166</f>
        <v>589</v>
      </c>
    </row>
    <row r="166" spans="1:8" ht="47.25" x14ac:dyDescent="0.25">
      <c r="A166" s="396" t="s">
        <v>272</v>
      </c>
      <c r="B166" s="392" t="s">
        <v>1231</v>
      </c>
      <c r="C166" s="399" t="s">
        <v>264</v>
      </c>
      <c r="D166" s="399" t="s">
        <v>118</v>
      </c>
      <c r="E166" s="399" t="s">
        <v>273</v>
      </c>
      <c r="F166" s="399"/>
      <c r="G166" s="389">
        <f>G167</f>
        <v>589</v>
      </c>
      <c r="H166" s="389">
        <f>H167</f>
        <v>589</v>
      </c>
    </row>
    <row r="167" spans="1:8" ht="15.75" x14ac:dyDescent="0.25">
      <c r="A167" s="396" t="s">
        <v>274</v>
      </c>
      <c r="B167" s="392" t="s">
        <v>1231</v>
      </c>
      <c r="C167" s="399" t="s">
        <v>264</v>
      </c>
      <c r="D167" s="399" t="s">
        <v>118</v>
      </c>
      <c r="E167" s="399" t="s">
        <v>275</v>
      </c>
      <c r="F167" s="399"/>
      <c r="G167" s="389">
        <f>'пр.6.1.ведом.22-23 (2)'!G561</f>
        <v>589</v>
      </c>
      <c r="H167" s="389">
        <f>'пр.6.1.ведом.22-23 (2)'!H561</f>
        <v>589</v>
      </c>
    </row>
    <row r="168" spans="1:8" ht="31.5" x14ac:dyDescent="0.25">
      <c r="A168" s="29" t="s">
        <v>403</v>
      </c>
      <c r="B168" s="392" t="s">
        <v>1231</v>
      </c>
      <c r="C168" s="399" t="s">
        <v>264</v>
      </c>
      <c r="D168" s="399" t="s">
        <v>118</v>
      </c>
      <c r="E168" s="399" t="s">
        <v>275</v>
      </c>
      <c r="F168" s="399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392" t="s">
        <v>1232</v>
      </c>
      <c r="C169" s="399" t="s">
        <v>264</v>
      </c>
      <c r="D169" s="399" t="s">
        <v>118</v>
      </c>
      <c r="E169" s="399"/>
      <c r="F169" s="399"/>
      <c r="G169" s="389">
        <f>G170</f>
        <v>1629.3</v>
      </c>
      <c r="H169" s="389">
        <f>H170</f>
        <v>1629.3</v>
      </c>
    </row>
    <row r="170" spans="1:8" ht="47.25" x14ac:dyDescent="0.25">
      <c r="A170" s="396" t="s">
        <v>272</v>
      </c>
      <c r="B170" s="392" t="s">
        <v>1232</v>
      </c>
      <c r="C170" s="399" t="s">
        <v>264</v>
      </c>
      <c r="D170" s="399" t="s">
        <v>118</v>
      </c>
      <c r="E170" s="399" t="s">
        <v>273</v>
      </c>
      <c r="F170" s="399"/>
      <c r="G170" s="389">
        <f>G171</f>
        <v>1629.3</v>
      </c>
      <c r="H170" s="389">
        <f>H171</f>
        <v>1629.3</v>
      </c>
    </row>
    <row r="171" spans="1:8" ht="15.75" x14ac:dyDescent="0.25">
      <c r="A171" s="396" t="s">
        <v>274</v>
      </c>
      <c r="B171" s="392" t="s">
        <v>1232</v>
      </c>
      <c r="C171" s="399" t="s">
        <v>264</v>
      </c>
      <c r="D171" s="399" t="s">
        <v>118</v>
      </c>
      <c r="E171" s="399" t="s">
        <v>275</v>
      </c>
      <c r="F171" s="399"/>
      <c r="G171" s="389">
        <f>'пр.6.1.ведом.22-23 (2)'!G564</f>
        <v>1629.3</v>
      </c>
      <c r="H171" s="389">
        <f>'пр.6.1.ведом.22-23 (2)'!H564</f>
        <v>1629.3</v>
      </c>
    </row>
    <row r="172" spans="1:8" ht="31.5" x14ac:dyDescent="0.25">
      <c r="A172" s="29" t="s">
        <v>403</v>
      </c>
      <c r="B172" s="392" t="s">
        <v>1232</v>
      </c>
      <c r="C172" s="399" t="s">
        <v>264</v>
      </c>
      <c r="D172" s="399" t="s">
        <v>118</v>
      </c>
      <c r="E172" s="399" t="s">
        <v>275</v>
      </c>
      <c r="F172" s="399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1181</v>
      </c>
      <c r="B173" s="392" t="s">
        <v>1233</v>
      </c>
      <c r="C173" s="399" t="s">
        <v>264</v>
      </c>
      <c r="D173" s="399" t="s">
        <v>118</v>
      </c>
      <c r="E173" s="399"/>
      <c r="F173" s="399"/>
      <c r="G173" s="389">
        <f>G174</f>
        <v>70113.2</v>
      </c>
      <c r="H173" s="389">
        <f>H174</f>
        <v>74475.8</v>
      </c>
    </row>
    <row r="174" spans="1:8" ht="47.25" x14ac:dyDescent="0.25">
      <c r="A174" s="396" t="s">
        <v>272</v>
      </c>
      <c r="B174" s="392" t="s">
        <v>1233</v>
      </c>
      <c r="C174" s="399" t="s">
        <v>264</v>
      </c>
      <c r="D174" s="399" t="s">
        <v>118</v>
      </c>
      <c r="E174" s="399" t="s">
        <v>273</v>
      </c>
      <c r="F174" s="399"/>
      <c r="G174" s="389">
        <f>G175</f>
        <v>70113.2</v>
      </c>
      <c r="H174" s="389">
        <f>H175</f>
        <v>74475.8</v>
      </c>
    </row>
    <row r="175" spans="1:8" ht="15.75" x14ac:dyDescent="0.25">
      <c r="A175" s="396" t="s">
        <v>274</v>
      </c>
      <c r="B175" s="392" t="s">
        <v>1233</v>
      </c>
      <c r="C175" s="399" t="s">
        <v>264</v>
      </c>
      <c r="D175" s="399" t="s">
        <v>118</v>
      </c>
      <c r="E175" s="399" t="s">
        <v>275</v>
      </c>
      <c r="F175" s="399"/>
      <c r="G175" s="389">
        <f>'пр.6.1.ведом.22-23 (2)'!G567</f>
        <v>70113.2</v>
      </c>
      <c r="H175" s="389">
        <f>'пр.6.1.ведом.22-23 (2)'!H567</f>
        <v>74475.8</v>
      </c>
    </row>
    <row r="176" spans="1:8" ht="31.5" x14ac:dyDescent="0.25">
      <c r="A176" s="29" t="s">
        <v>403</v>
      </c>
      <c r="B176" s="392" t="s">
        <v>1233</v>
      </c>
      <c r="C176" s="399" t="s">
        <v>264</v>
      </c>
      <c r="D176" s="399" t="s">
        <v>118</v>
      </c>
      <c r="E176" s="399" t="s">
        <v>275</v>
      </c>
      <c r="F176" s="399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399" t="s">
        <v>1230</v>
      </c>
      <c r="C177" s="399" t="s">
        <v>264</v>
      </c>
      <c r="D177" s="399" t="s">
        <v>213</v>
      </c>
      <c r="E177" s="399"/>
      <c r="F177" s="399"/>
      <c r="G177" s="10">
        <f>G186+G190+G194+G198+G182+G178</f>
        <v>131370.9</v>
      </c>
      <c r="H177" s="10">
        <f>H186+H190+H194+H198+H182+H178</f>
        <v>150534.80000000002</v>
      </c>
    </row>
    <row r="178" spans="1:8" ht="78.75" x14ac:dyDescent="0.25">
      <c r="A178" s="396" t="s">
        <v>1391</v>
      </c>
      <c r="B178" s="392" t="s">
        <v>1392</v>
      </c>
      <c r="C178" s="399" t="s">
        <v>264</v>
      </c>
      <c r="D178" s="399" t="s">
        <v>213</v>
      </c>
      <c r="E178" s="399"/>
      <c r="F178" s="399"/>
      <c r="G178" s="10">
        <f>G179</f>
        <v>7226.1</v>
      </c>
      <c r="H178" s="10">
        <f>H179</f>
        <v>7226.1</v>
      </c>
    </row>
    <row r="179" spans="1:8" ht="47.25" x14ac:dyDescent="0.25">
      <c r="A179" s="396" t="s">
        <v>272</v>
      </c>
      <c r="B179" s="392" t="s">
        <v>1392</v>
      </c>
      <c r="C179" s="399" t="s">
        <v>264</v>
      </c>
      <c r="D179" s="399" t="s">
        <v>213</v>
      </c>
      <c r="E179" s="399" t="s">
        <v>273</v>
      </c>
      <c r="F179" s="399"/>
      <c r="G179" s="10">
        <f>G180</f>
        <v>7226.1</v>
      </c>
      <c r="H179" s="10">
        <f>H180</f>
        <v>7226.1</v>
      </c>
    </row>
    <row r="180" spans="1:8" ht="15.75" x14ac:dyDescent="0.25">
      <c r="A180" s="396" t="s">
        <v>274</v>
      </c>
      <c r="B180" s="392" t="s">
        <v>1392</v>
      </c>
      <c r="C180" s="399" t="s">
        <v>264</v>
      </c>
      <c r="D180" s="399" t="s">
        <v>213</v>
      </c>
      <c r="E180" s="399" t="s">
        <v>275</v>
      </c>
      <c r="F180" s="399"/>
      <c r="G180" s="10">
        <f>'пр.6.1.ведом.22-23 (2)'!G618</f>
        <v>7226.1</v>
      </c>
      <c r="H180" s="10">
        <f>'пр.6.1.ведом.22-23 (2)'!H618</f>
        <v>7226.1</v>
      </c>
    </row>
    <row r="181" spans="1:8" ht="31.5" x14ac:dyDescent="0.25">
      <c r="A181" s="45" t="s">
        <v>403</v>
      </c>
      <c r="B181" s="392" t="s">
        <v>1392</v>
      </c>
      <c r="C181" s="399" t="s">
        <v>264</v>
      </c>
      <c r="D181" s="399" t="s">
        <v>213</v>
      </c>
      <c r="E181" s="399" t="s">
        <v>275</v>
      </c>
      <c r="F181" s="399" t="s">
        <v>636</v>
      </c>
      <c r="G181" s="10">
        <f>G178</f>
        <v>7226.1</v>
      </c>
      <c r="H181" s="10">
        <f>H178</f>
        <v>7226.1</v>
      </c>
    </row>
    <row r="182" spans="1:8" ht="110.25" x14ac:dyDescent="0.25">
      <c r="A182" s="31" t="s">
        <v>464</v>
      </c>
      <c r="B182" s="392" t="s">
        <v>1389</v>
      </c>
      <c r="C182" s="399" t="s">
        <v>264</v>
      </c>
      <c r="D182" s="399" t="s">
        <v>213</v>
      </c>
      <c r="E182" s="399"/>
      <c r="F182" s="399"/>
      <c r="G182" s="389">
        <f>G183</f>
        <v>4610</v>
      </c>
      <c r="H182" s="389">
        <f>H183</f>
        <v>4610</v>
      </c>
    </row>
    <row r="183" spans="1:8" ht="47.25" x14ac:dyDescent="0.25">
      <c r="A183" s="396" t="s">
        <v>272</v>
      </c>
      <c r="B183" s="392" t="s">
        <v>1389</v>
      </c>
      <c r="C183" s="399" t="s">
        <v>264</v>
      </c>
      <c r="D183" s="399" t="s">
        <v>213</v>
      </c>
      <c r="E183" s="399" t="s">
        <v>273</v>
      </c>
      <c r="F183" s="399"/>
      <c r="G183" s="389">
        <f>G184</f>
        <v>4610</v>
      </c>
      <c r="H183" s="389">
        <f>H184</f>
        <v>4610</v>
      </c>
    </row>
    <row r="184" spans="1:8" ht="15.75" x14ac:dyDescent="0.25">
      <c r="A184" s="396" t="s">
        <v>274</v>
      </c>
      <c r="B184" s="392" t="s">
        <v>1389</v>
      </c>
      <c r="C184" s="399" t="s">
        <v>264</v>
      </c>
      <c r="D184" s="399" t="s">
        <v>213</v>
      </c>
      <c r="E184" s="399" t="s">
        <v>275</v>
      </c>
      <c r="F184" s="399"/>
      <c r="G184" s="389">
        <f>'пр.6.1.ведом.22-23 (2)'!G621</f>
        <v>4610</v>
      </c>
      <c r="H184" s="389">
        <f>'пр.6.1.ведом.22-23 (2)'!H621</f>
        <v>4610</v>
      </c>
    </row>
    <row r="185" spans="1:8" ht="31.5" x14ac:dyDescent="0.25">
      <c r="A185" s="29" t="s">
        <v>403</v>
      </c>
      <c r="B185" s="392" t="s">
        <v>1389</v>
      </c>
      <c r="C185" s="399" t="s">
        <v>264</v>
      </c>
      <c r="D185" s="399" t="s">
        <v>213</v>
      </c>
      <c r="E185" s="399" t="s">
        <v>275</v>
      </c>
      <c r="F185" s="399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1182</v>
      </c>
      <c r="B186" s="392" t="s">
        <v>1248</v>
      </c>
      <c r="C186" s="399" t="s">
        <v>264</v>
      </c>
      <c r="D186" s="399" t="s">
        <v>213</v>
      </c>
      <c r="E186" s="399"/>
      <c r="F186" s="399"/>
      <c r="G186" s="389">
        <f>G187</f>
        <v>115047.8</v>
      </c>
      <c r="H186" s="389">
        <f>H187</f>
        <v>134211.70000000001</v>
      </c>
    </row>
    <row r="187" spans="1:8" ht="47.25" x14ac:dyDescent="0.25">
      <c r="A187" s="396" t="s">
        <v>272</v>
      </c>
      <c r="B187" s="392" t="s">
        <v>1248</v>
      </c>
      <c r="C187" s="399" t="s">
        <v>264</v>
      </c>
      <c r="D187" s="399" t="s">
        <v>213</v>
      </c>
      <c r="E187" s="399" t="s">
        <v>273</v>
      </c>
      <c r="F187" s="399"/>
      <c r="G187" s="389">
        <f>G188</f>
        <v>115047.8</v>
      </c>
      <c r="H187" s="389">
        <f>H188</f>
        <v>134211.70000000001</v>
      </c>
    </row>
    <row r="188" spans="1:8" ht="15.75" x14ac:dyDescent="0.25">
      <c r="A188" s="396" t="s">
        <v>274</v>
      </c>
      <c r="B188" s="392" t="s">
        <v>1248</v>
      </c>
      <c r="C188" s="399" t="s">
        <v>264</v>
      </c>
      <c r="D188" s="399" t="s">
        <v>213</v>
      </c>
      <c r="E188" s="399" t="s">
        <v>275</v>
      </c>
      <c r="F188" s="399"/>
      <c r="G188" s="389">
        <f>'пр.6.1.ведом.22-23 (2)'!G624</f>
        <v>115047.8</v>
      </c>
      <c r="H188" s="389">
        <f>'пр.6.1.ведом.22-23 (2)'!H624</f>
        <v>134211.70000000001</v>
      </c>
    </row>
    <row r="189" spans="1:8" ht="31.5" x14ac:dyDescent="0.25">
      <c r="A189" s="29" t="s">
        <v>403</v>
      </c>
      <c r="B189" s="392" t="s">
        <v>1248</v>
      </c>
      <c r="C189" s="399" t="s">
        <v>264</v>
      </c>
      <c r="D189" s="399" t="s">
        <v>213</v>
      </c>
      <c r="E189" s="399" t="s">
        <v>275</v>
      </c>
      <c r="F189" s="399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392" t="s">
        <v>1231</v>
      </c>
      <c r="C190" s="399" t="s">
        <v>264</v>
      </c>
      <c r="D190" s="399" t="s">
        <v>213</v>
      </c>
      <c r="E190" s="399"/>
      <c r="F190" s="399"/>
      <c r="G190" s="389">
        <f>G191</f>
        <v>1311</v>
      </c>
      <c r="H190" s="389">
        <f>H191</f>
        <v>1311</v>
      </c>
    </row>
    <row r="191" spans="1:8" ht="47.25" x14ac:dyDescent="0.25">
      <c r="A191" s="396" t="s">
        <v>272</v>
      </c>
      <c r="B191" s="392" t="s">
        <v>1231</v>
      </c>
      <c r="C191" s="399" t="s">
        <v>264</v>
      </c>
      <c r="D191" s="399" t="s">
        <v>213</v>
      </c>
      <c r="E191" s="399" t="s">
        <v>273</v>
      </c>
      <c r="F191" s="399"/>
      <c r="G191" s="389">
        <f>G192</f>
        <v>1311</v>
      </c>
      <c r="H191" s="389">
        <f>H192</f>
        <v>1311</v>
      </c>
    </row>
    <row r="192" spans="1:8" ht="15.75" x14ac:dyDescent="0.25">
      <c r="A192" s="396" t="s">
        <v>274</v>
      </c>
      <c r="B192" s="392" t="s">
        <v>1231</v>
      </c>
      <c r="C192" s="399" t="s">
        <v>264</v>
      </c>
      <c r="D192" s="399" t="s">
        <v>213</v>
      </c>
      <c r="E192" s="399" t="s">
        <v>275</v>
      </c>
      <c r="F192" s="399"/>
      <c r="G192" s="389">
        <f>'пр.6.1.ведом.22-23 (2)'!G627</f>
        <v>1311</v>
      </c>
      <c r="H192" s="389">
        <f>'пр.6.1.ведом.22-23 (2)'!H627</f>
        <v>1311</v>
      </c>
    </row>
    <row r="193" spans="1:8" ht="31.5" x14ac:dyDescent="0.25">
      <c r="A193" s="29" t="s">
        <v>403</v>
      </c>
      <c r="B193" s="392" t="s">
        <v>1231</v>
      </c>
      <c r="C193" s="399" t="s">
        <v>264</v>
      </c>
      <c r="D193" s="399" t="s">
        <v>213</v>
      </c>
      <c r="E193" s="399" t="s">
        <v>275</v>
      </c>
      <c r="F193" s="399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392" t="s">
        <v>1232</v>
      </c>
      <c r="C194" s="399" t="s">
        <v>264</v>
      </c>
      <c r="D194" s="399" t="s">
        <v>213</v>
      </c>
      <c r="E194" s="399"/>
      <c r="F194" s="399"/>
      <c r="G194" s="389">
        <f>G195</f>
        <v>2266.6999999999998</v>
      </c>
      <c r="H194" s="389">
        <f>H195</f>
        <v>2266.6999999999998</v>
      </c>
    </row>
    <row r="195" spans="1:8" ht="47.25" x14ac:dyDescent="0.25">
      <c r="A195" s="396" t="s">
        <v>272</v>
      </c>
      <c r="B195" s="392" t="s">
        <v>1232</v>
      </c>
      <c r="C195" s="399" t="s">
        <v>264</v>
      </c>
      <c r="D195" s="399" t="s">
        <v>213</v>
      </c>
      <c r="E195" s="399" t="s">
        <v>273</v>
      </c>
      <c r="F195" s="399"/>
      <c r="G195" s="389">
        <f>G196</f>
        <v>2266.6999999999998</v>
      </c>
      <c r="H195" s="389">
        <f>H196</f>
        <v>2266.6999999999998</v>
      </c>
    </row>
    <row r="196" spans="1:8" ht="15.75" x14ac:dyDescent="0.25">
      <c r="A196" s="396" t="s">
        <v>274</v>
      </c>
      <c r="B196" s="392" t="s">
        <v>1232</v>
      </c>
      <c r="C196" s="399" t="s">
        <v>264</v>
      </c>
      <c r="D196" s="399" t="s">
        <v>213</v>
      </c>
      <c r="E196" s="399" t="s">
        <v>275</v>
      </c>
      <c r="F196" s="399"/>
      <c r="G196" s="389">
        <f>'пр.6.1.ведом.22-23 (2)'!G630</f>
        <v>2266.6999999999998</v>
      </c>
      <c r="H196" s="389">
        <f>'пр.6.1.ведом.22-23 (2)'!H630</f>
        <v>2266.6999999999998</v>
      </c>
    </row>
    <row r="197" spans="1:8" ht="31.5" x14ac:dyDescent="0.25">
      <c r="A197" s="29" t="s">
        <v>403</v>
      </c>
      <c r="B197" s="392" t="s">
        <v>1232</v>
      </c>
      <c r="C197" s="399" t="s">
        <v>264</v>
      </c>
      <c r="D197" s="399" t="s">
        <v>213</v>
      </c>
      <c r="E197" s="399" t="s">
        <v>275</v>
      </c>
      <c r="F197" s="399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392" t="s">
        <v>1249</v>
      </c>
      <c r="C198" s="399" t="s">
        <v>264</v>
      </c>
      <c r="D198" s="399" t="s">
        <v>213</v>
      </c>
      <c r="E198" s="399"/>
      <c r="F198" s="399"/>
      <c r="G198" s="389">
        <f>G199</f>
        <v>909.3</v>
      </c>
      <c r="H198" s="389">
        <f>H199</f>
        <v>909.3</v>
      </c>
    </row>
    <row r="199" spans="1:8" ht="47.25" x14ac:dyDescent="0.25">
      <c r="A199" s="396" t="s">
        <v>272</v>
      </c>
      <c r="B199" s="392" t="s">
        <v>1249</v>
      </c>
      <c r="C199" s="399" t="s">
        <v>264</v>
      </c>
      <c r="D199" s="399" t="s">
        <v>213</v>
      </c>
      <c r="E199" s="399" t="s">
        <v>273</v>
      </c>
      <c r="F199" s="399"/>
      <c r="G199" s="389">
        <f>G200</f>
        <v>909.3</v>
      </c>
      <c r="H199" s="389">
        <f>H200</f>
        <v>909.3</v>
      </c>
    </row>
    <row r="200" spans="1:8" ht="15.75" x14ac:dyDescent="0.25">
      <c r="A200" s="396" t="s">
        <v>274</v>
      </c>
      <c r="B200" s="392" t="s">
        <v>1249</v>
      </c>
      <c r="C200" s="399" t="s">
        <v>264</v>
      </c>
      <c r="D200" s="399" t="s">
        <v>213</v>
      </c>
      <c r="E200" s="399" t="s">
        <v>275</v>
      </c>
      <c r="F200" s="399"/>
      <c r="G200" s="389">
        <f>'пр.6.1.ведом.22-23 (2)'!G633</f>
        <v>909.3</v>
      </c>
      <c r="H200" s="389">
        <f>'пр.6.1.ведом.22-23 (2)'!H633</f>
        <v>909.3</v>
      </c>
    </row>
    <row r="201" spans="1:8" ht="31.5" x14ac:dyDescent="0.25">
      <c r="A201" s="29" t="s">
        <v>403</v>
      </c>
      <c r="B201" s="392" t="s">
        <v>1249</v>
      </c>
      <c r="C201" s="399" t="s">
        <v>264</v>
      </c>
      <c r="D201" s="399" t="s">
        <v>213</v>
      </c>
      <c r="E201" s="399" t="s">
        <v>275</v>
      </c>
      <c r="F201" s="399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399" t="s">
        <v>1230</v>
      </c>
      <c r="C202" s="399" t="s">
        <v>264</v>
      </c>
      <c r="D202" s="399" t="s">
        <v>215</v>
      </c>
      <c r="E202" s="399"/>
      <c r="F202" s="399"/>
      <c r="G202" s="389">
        <f>G207+G211+G203</f>
        <v>2128.5</v>
      </c>
      <c r="H202" s="389">
        <f>H207+H211+H203</f>
        <v>2128.5</v>
      </c>
    </row>
    <row r="203" spans="1:8" ht="110.25" x14ac:dyDescent="0.25">
      <c r="A203" s="31" t="s">
        <v>293</v>
      </c>
      <c r="B203" s="392" t="s">
        <v>1389</v>
      </c>
      <c r="C203" s="399" t="s">
        <v>264</v>
      </c>
      <c r="D203" s="399" t="s">
        <v>215</v>
      </c>
      <c r="E203" s="399"/>
      <c r="F203" s="399"/>
      <c r="G203" s="389">
        <f>G204</f>
        <v>1400</v>
      </c>
      <c r="H203" s="389">
        <f>H204</f>
        <v>1400</v>
      </c>
    </row>
    <row r="204" spans="1:8" ht="47.25" x14ac:dyDescent="0.25">
      <c r="A204" s="396" t="s">
        <v>272</v>
      </c>
      <c r="B204" s="392" t="s">
        <v>1389</v>
      </c>
      <c r="C204" s="399" t="s">
        <v>264</v>
      </c>
      <c r="D204" s="399" t="s">
        <v>215</v>
      </c>
      <c r="E204" s="399" t="s">
        <v>273</v>
      </c>
      <c r="F204" s="399"/>
      <c r="G204" s="389">
        <f>G205</f>
        <v>1400</v>
      </c>
      <c r="H204" s="389">
        <f>H205</f>
        <v>1400</v>
      </c>
    </row>
    <row r="205" spans="1:8" ht="15.75" x14ac:dyDescent="0.25">
      <c r="A205" s="396" t="s">
        <v>274</v>
      </c>
      <c r="B205" s="392" t="s">
        <v>1389</v>
      </c>
      <c r="C205" s="399" t="s">
        <v>264</v>
      </c>
      <c r="D205" s="399" t="s">
        <v>215</v>
      </c>
      <c r="E205" s="399" t="s">
        <v>275</v>
      </c>
      <c r="F205" s="399"/>
      <c r="G205" s="389">
        <f>'пр.6.1.ведом.22-23 (2)'!G700</f>
        <v>1400</v>
      </c>
      <c r="H205" s="389">
        <f>'пр.6.1.ведом.22-23 (2)'!H700</f>
        <v>1400</v>
      </c>
    </row>
    <row r="206" spans="1:8" ht="31.5" x14ac:dyDescent="0.25">
      <c r="A206" s="29" t="s">
        <v>403</v>
      </c>
      <c r="B206" s="392" t="s">
        <v>1389</v>
      </c>
      <c r="C206" s="399" t="s">
        <v>264</v>
      </c>
      <c r="D206" s="399" t="s">
        <v>215</v>
      </c>
      <c r="E206" s="399" t="s">
        <v>275</v>
      </c>
      <c r="F206" s="399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392" t="s">
        <v>1231</v>
      </c>
      <c r="C207" s="399" t="s">
        <v>264</v>
      </c>
      <c r="D207" s="399" t="s">
        <v>215</v>
      </c>
      <c r="E207" s="399"/>
      <c r="F207" s="399"/>
      <c r="G207" s="389">
        <f>G208</f>
        <v>179</v>
      </c>
      <c r="H207" s="389">
        <f>H208</f>
        <v>179</v>
      </c>
    </row>
    <row r="208" spans="1:8" ht="47.25" x14ac:dyDescent="0.25">
      <c r="A208" s="396" t="s">
        <v>272</v>
      </c>
      <c r="B208" s="392" t="s">
        <v>1231</v>
      </c>
      <c r="C208" s="399" t="s">
        <v>264</v>
      </c>
      <c r="D208" s="399" t="s">
        <v>215</v>
      </c>
      <c r="E208" s="399" t="s">
        <v>273</v>
      </c>
      <c r="F208" s="399"/>
      <c r="G208" s="389">
        <f>G209</f>
        <v>179</v>
      </c>
      <c r="H208" s="389">
        <f>H209</f>
        <v>179</v>
      </c>
    </row>
    <row r="209" spans="1:8" ht="15.75" x14ac:dyDescent="0.25">
      <c r="A209" s="396" t="s">
        <v>274</v>
      </c>
      <c r="B209" s="392" t="s">
        <v>1231</v>
      </c>
      <c r="C209" s="399" t="s">
        <v>264</v>
      </c>
      <c r="D209" s="399" t="s">
        <v>215</v>
      </c>
      <c r="E209" s="399" t="s">
        <v>275</v>
      </c>
      <c r="F209" s="399"/>
      <c r="G209" s="389">
        <f>'пр.6.1.ведом.22-23 (2)'!G703</f>
        <v>179</v>
      </c>
      <c r="H209" s="389">
        <f>'пр.6.1.ведом.22-23 (2)'!H703</f>
        <v>179</v>
      </c>
    </row>
    <row r="210" spans="1:8" ht="31.5" x14ac:dyDescent="0.25">
      <c r="A210" s="29" t="s">
        <v>403</v>
      </c>
      <c r="B210" s="392" t="s">
        <v>1231</v>
      </c>
      <c r="C210" s="399" t="s">
        <v>264</v>
      </c>
      <c r="D210" s="399" t="s">
        <v>215</v>
      </c>
      <c r="E210" s="399" t="s">
        <v>275</v>
      </c>
      <c r="F210" s="399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392" t="s">
        <v>1232</v>
      </c>
      <c r="C211" s="399" t="s">
        <v>264</v>
      </c>
      <c r="D211" s="399" t="s">
        <v>215</v>
      </c>
      <c r="E211" s="399"/>
      <c r="F211" s="399"/>
      <c r="G211" s="389">
        <f>G212</f>
        <v>549.5</v>
      </c>
      <c r="H211" s="389">
        <f>H212</f>
        <v>549.5</v>
      </c>
    </row>
    <row r="212" spans="1:8" ht="47.25" x14ac:dyDescent="0.25">
      <c r="A212" s="396" t="s">
        <v>272</v>
      </c>
      <c r="B212" s="392" t="s">
        <v>1232</v>
      </c>
      <c r="C212" s="399" t="s">
        <v>264</v>
      </c>
      <c r="D212" s="399" t="s">
        <v>215</v>
      </c>
      <c r="E212" s="399" t="s">
        <v>273</v>
      </c>
      <c r="F212" s="399"/>
      <c r="G212" s="389">
        <f>G213</f>
        <v>549.5</v>
      </c>
      <c r="H212" s="389">
        <f>H213</f>
        <v>549.5</v>
      </c>
    </row>
    <row r="213" spans="1:8" ht="15.75" x14ac:dyDescent="0.25">
      <c r="A213" s="396" t="s">
        <v>274</v>
      </c>
      <c r="B213" s="392" t="s">
        <v>1232</v>
      </c>
      <c r="C213" s="399" t="s">
        <v>264</v>
      </c>
      <c r="D213" s="399" t="s">
        <v>215</v>
      </c>
      <c r="E213" s="399" t="s">
        <v>275</v>
      </c>
      <c r="F213" s="399"/>
      <c r="G213" s="389">
        <f>'пр.6.1.ведом.22-23 (2)'!G706</f>
        <v>549.5</v>
      </c>
      <c r="H213" s="389">
        <f>'пр.6.1.ведом.22-23 (2)'!H706</f>
        <v>549.5</v>
      </c>
    </row>
    <row r="214" spans="1:8" ht="31.5" x14ac:dyDescent="0.25">
      <c r="A214" s="29" t="s">
        <v>403</v>
      </c>
      <c r="B214" s="392" t="s">
        <v>1232</v>
      </c>
      <c r="C214" s="399" t="s">
        <v>264</v>
      </c>
      <c r="D214" s="399" t="s">
        <v>215</v>
      </c>
      <c r="E214" s="399" t="s">
        <v>275</v>
      </c>
      <c r="F214" s="399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394" t="s">
        <v>1290</v>
      </c>
      <c r="B215" s="395" t="s">
        <v>1235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263</v>
      </c>
      <c r="B216" s="392" t="s">
        <v>1235</v>
      </c>
      <c r="C216" s="399" t="s">
        <v>264</v>
      </c>
      <c r="D216" s="399"/>
      <c r="E216" s="399"/>
      <c r="F216" s="399"/>
      <c r="G216" s="10">
        <f t="shared" ref="G216:H216" si="21">G217</f>
        <v>4430</v>
      </c>
      <c r="H216" s="10">
        <f t="shared" si="21"/>
        <v>4430</v>
      </c>
    </row>
    <row r="217" spans="1:8" ht="15.75" x14ac:dyDescent="0.25">
      <c r="A217" s="45" t="s">
        <v>404</v>
      </c>
      <c r="B217" s="392" t="s">
        <v>1235</v>
      </c>
      <c r="C217" s="399" t="s">
        <v>264</v>
      </c>
      <c r="D217" s="399" t="s">
        <v>118</v>
      </c>
      <c r="E217" s="399"/>
      <c r="F217" s="399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278</v>
      </c>
      <c r="B218" s="392" t="s">
        <v>1316</v>
      </c>
      <c r="C218" s="399" t="s">
        <v>264</v>
      </c>
      <c r="D218" s="399" t="s">
        <v>118</v>
      </c>
      <c r="E218" s="399"/>
      <c r="F218" s="399"/>
      <c r="G218" s="10">
        <f t="shared" ref="G218:H219" si="22">G219</f>
        <v>0</v>
      </c>
      <c r="H218" s="10">
        <f t="shared" si="22"/>
        <v>0</v>
      </c>
    </row>
    <row r="219" spans="1:8" ht="47.25" hidden="1" x14ac:dyDescent="0.25">
      <c r="A219" s="29" t="s">
        <v>272</v>
      </c>
      <c r="B219" s="392" t="s">
        <v>1316</v>
      </c>
      <c r="C219" s="399" t="s">
        <v>264</v>
      </c>
      <c r="D219" s="399" t="s">
        <v>118</v>
      </c>
      <c r="E219" s="399" t="s">
        <v>273</v>
      </c>
      <c r="F219" s="399"/>
      <c r="G219" s="10">
        <f t="shared" si="22"/>
        <v>0</v>
      </c>
      <c r="H219" s="10">
        <f t="shared" si="22"/>
        <v>0</v>
      </c>
    </row>
    <row r="220" spans="1:8" ht="15.75" hidden="1" x14ac:dyDescent="0.25">
      <c r="A220" s="29" t="s">
        <v>274</v>
      </c>
      <c r="B220" s="392" t="s">
        <v>1316</v>
      </c>
      <c r="C220" s="399" t="s">
        <v>264</v>
      </c>
      <c r="D220" s="399" t="s">
        <v>118</v>
      </c>
      <c r="E220" s="399" t="s">
        <v>275</v>
      </c>
      <c r="F220" s="399"/>
      <c r="G220" s="10">
        <f>'пр.6.1.ведом.22-23 (2)'!G571</f>
        <v>0</v>
      </c>
      <c r="H220" s="10">
        <f>'пр.6.1.ведом.22-23 (2)'!H571</f>
        <v>0</v>
      </c>
    </row>
    <row r="221" spans="1:8" ht="31.5" hidden="1" x14ac:dyDescent="0.25">
      <c r="A221" s="29" t="s">
        <v>403</v>
      </c>
      <c r="B221" s="392" t="s">
        <v>1316</v>
      </c>
      <c r="C221" s="399" t="s">
        <v>264</v>
      </c>
      <c r="D221" s="399" t="s">
        <v>118</v>
      </c>
      <c r="E221" s="399" t="s">
        <v>275</v>
      </c>
      <c r="F221" s="399" t="s">
        <v>636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280</v>
      </c>
      <c r="B222" s="392" t="s">
        <v>1317</v>
      </c>
      <c r="C222" s="399" t="s">
        <v>264</v>
      </c>
      <c r="D222" s="399" t="s">
        <v>118</v>
      </c>
      <c r="E222" s="399"/>
      <c r="F222" s="399"/>
      <c r="G222" s="10">
        <f t="shared" ref="G222:H223" si="23">G223</f>
        <v>0</v>
      </c>
      <c r="H222" s="10">
        <f t="shared" si="23"/>
        <v>0</v>
      </c>
    </row>
    <row r="223" spans="1:8" ht="47.25" hidden="1" x14ac:dyDescent="0.25">
      <c r="A223" s="29" t="s">
        <v>272</v>
      </c>
      <c r="B223" s="392" t="s">
        <v>1317</v>
      </c>
      <c r="C223" s="399" t="s">
        <v>264</v>
      </c>
      <c r="D223" s="399" t="s">
        <v>118</v>
      </c>
      <c r="E223" s="399" t="s">
        <v>273</v>
      </c>
      <c r="F223" s="399"/>
      <c r="G223" s="10">
        <f t="shared" si="23"/>
        <v>0</v>
      </c>
      <c r="H223" s="10">
        <f t="shared" si="23"/>
        <v>0</v>
      </c>
    </row>
    <row r="224" spans="1:8" ht="15.75" hidden="1" x14ac:dyDescent="0.25">
      <c r="A224" s="29" t="s">
        <v>274</v>
      </c>
      <c r="B224" s="392" t="s">
        <v>1317</v>
      </c>
      <c r="C224" s="399" t="s">
        <v>264</v>
      </c>
      <c r="D224" s="399" t="s">
        <v>118</v>
      </c>
      <c r="E224" s="399" t="s">
        <v>275</v>
      </c>
      <c r="F224" s="399"/>
      <c r="G224" s="10">
        <f>'пр.6.1.ведом.22-23 (2)'!G574</f>
        <v>0</v>
      </c>
      <c r="H224" s="10">
        <f>'пр.6.1.ведом.22-23 (2)'!H574</f>
        <v>0</v>
      </c>
    </row>
    <row r="225" spans="1:8" ht="31.5" hidden="1" x14ac:dyDescent="0.25">
      <c r="A225" s="29" t="s">
        <v>403</v>
      </c>
      <c r="B225" s="392" t="s">
        <v>1317</v>
      </c>
      <c r="C225" s="399" t="s">
        <v>264</v>
      </c>
      <c r="D225" s="399" t="s">
        <v>118</v>
      </c>
      <c r="E225" s="399" t="s">
        <v>275</v>
      </c>
      <c r="F225" s="399" t="s">
        <v>636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415</v>
      </c>
      <c r="B226" s="392" t="s">
        <v>1236</v>
      </c>
      <c r="C226" s="399" t="s">
        <v>264</v>
      </c>
      <c r="D226" s="399" t="s">
        <v>118</v>
      </c>
      <c r="E226" s="399"/>
      <c r="F226" s="399"/>
      <c r="G226" s="10">
        <f t="shared" ref="G226:H227" si="24">G227</f>
        <v>4430</v>
      </c>
      <c r="H226" s="10">
        <f t="shared" si="24"/>
        <v>4430</v>
      </c>
    </row>
    <row r="227" spans="1:8" ht="47.25" x14ac:dyDescent="0.25">
      <c r="A227" s="29" t="s">
        <v>272</v>
      </c>
      <c r="B227" s="392" t="s">
        <v>1236</v>
      </c>
      <c r="C227" s="399" t="s">
        <v>264</v>
      </c>
      <c r="D227" s="399" t="s">
        <v>118</v>
      </c>
      <c r="E227" s="399" t="s">
        <v>273</v>
      </c>
      <c r="F227" s="399"/>
      <c r="G227" s="10">
        <f t="shared" si="24"/>
        <v>4430</v>
      </c>
      <c r="H227" s="10">
        <f t="shared" si="24"/>
        <v>4430</v>
      </c>
    </row>
    <row r="228" spans="1:8" ht="15.75" x14ac:dyDescent="0.25">
      <c r="A228" s="29" t="s">
        <v>274</v>
      </c>
      <c r="B228" s="392" t="s">
        <v>1236</v>
      </c>
      <c r="C228" s="399" t="s">
        <v>264</v>
      </c>
      <c r="D228" s="399" t="s">
        <v>118</v>
      </c>
      <c r="E228" s="399" t="s">
        <v>275</v>
      </c>
      <c r="F228" s="399"/>
      <c r="G228" s="389">
        <f>'пр.6.1.ведом.22-23 (2)'!G577</f>
        <v>4430</v>
      </c>
      <c r="H228" s="389">
        <f>'пр.6.1.ведом.22-23 (2)'!H577</f>
        <v>4430</v>
      </c>
    </row>
    <row r="229" spans="1:8" ht="31.5" x14ac:dyDescent="0.25">
      <c r="A229" s="29" t="s">
        <v>403</v>
      </c>
      <c r="B229" s="392" t="s">
        <v>1236</v>
      </c>
      <c r="C229" s="399" t="s">
        <v>264</v>
      </c>
      <c r="D229" s="399" t="s">
        <v>118</v>
      </c>
      <c r="E229" s="399" t="s">
        <v>275</v>
      </c>
      <c r="F229" s="399" t="s">
        <v>636</v>
      </c>
      <c r="G229" s="10">
        <f>G228</f>
        <v>4430</v>
      </c>
      <c r="H229" s="10">
        <f>H228</f>
        <v>4430</v>
      </c>
    </row>
    <row r="230" spans="1:8" ht="15.75" x14ac:dyDescent="0.25">
      <c r="A230" s="29" t="s">
        <v>263</v>
      </c>
      <c r="B230" s="399" t="s">
        <v>1235</v>
      </c>
      <c r="C230" s="399" t="s">
        <v>264</v>
      </c>
      <c r="D230" s="399"/>
      <c r="E230" s="399"/>
      <c r="F230" s="399"/>
      <c r="G230" s="10">
        <f t="shared" ref="G230:H230" si="25">G231</f>
        <v>224</v>
      </c>
      <c r="H230" s="10">
        <f t="shared" si="25"/>
        <v>224</v>
      </c>
    </row>
    <row r="231" spans="1:8" ht="15.75" x14ac:dyDescent="0.25">
      <c r="A231" s="29" t="s">
        <v>425</v>
      </c>
      <c r="B231" s="399" t="s">
        <v>1235</v>
      </c>
      <c r="C231" s="399" t="s">
        <v>264</v>
      </c>
      <c r="D231" s="399" t="s">
        <v>213</v>
      </c>
      <c r="E231" s="399"/>
      <c r="F231" s="399"/>
      <c r="G231" s="10">
        <f>G232+G236+G240+G244</f>
        <v>224</v>
      </c>
      <c r="H231" s="10">
        <f>H232+H236+H240+H244</f>
        <v>224</v>
      </c>
    </row>
    <row r="232" spans="1:8" ht="47.25" hidden="1" x14ac:dyDescent="0.25">
      <c r="A232" s="396" t="s">
        <v>789</v>
      </c>
      <c r="B232" s="392" t="s">
        <v>1315</v>
      </c>
      <c r="C232" s="399" t="s">
        <v>264</v>
      </c>
      <c r="D232" s="399" t="s">
        <v>213</v>
      </c>
      <c r="E232" s="399"/>
      <c r="F232" s="399"/>
      <c r="G232" s="389">
        <f>G233</f>
        <v>0</v>
      </c>
      <c r="H232" s="389">
        <f>H233</f>
        <v>0</v>
      </c>
    </row>
    <row r="233" spans="1:8" ht="47.25" hidden="1" x14ac:dyDescent="0.25">
      <c r="A233" s="396" t="s">
        <v>272</v>
      </c>
      <c r="B233" s="392" t="s">
        <v>1315</v>
      </c>
      <c r="C233" s="399" t="s">
        <v>264</v>
      </c>
      <c r="D233" s="399" t="s">
        <v>213</v>
      </c>
      <c r="E233" s="399" t="s">
        <v>273</v>
      </c>
      <c r="F233" s="399"/>
      <c r="G233" s="389">
        <f>G234</f>
        <v>0</v>
      </c>
      <c r="H233" s="389">
        <f>H234</f>
        <v>0</v>
      </c>
    </row>
    <row r="234" spans="1:8" ht="15.75" hidden="1" x14ac:dyDescent="0.25">
      <c r="A234" s="396" t="s">
        <v>274</v>
      </c>
      <c r="B234" s="392" t="s">
        <v>1315</v>
      </c>
      <c r="C234" s="399" t="s">
        <v>264</v>
      </c>
      <c r="D234" s="399" t="s">
        <v>213</v>
      </c>
      <c r="E234" s="399" t="s">
        <v>275</v>
      </c>
      <c r="F234" s="399"/>
      <c r="G234" s="389">
        <f>'пр.6.1.ведом.22-23 (2)'!G637</f>
        <v>0</v>
      </c>
      <c r="H234" s="389">
        <f>'пр.6.1.ведом.22-23 (2)'!H637</f>
        <v>0</v>
      </c>
    </row>
    <row r="235" spans="1:8" ht="31.5" hidden="1" x14ac:dyDescent="0.25">
      <c r="A235" s="29" t="s">
        <v>403</v>
      </c>
      <c r="B235" s="392" t="s">
        <v>1315</v>
      </c>
      <c r="C235" s="399" t="s">
        <v>264</v>
      </c>
      <c r="D235" s="399" t="s">
        <v>213</v>
      </c>
      <c r="E235" s="399" t="s">
        <v>275</v>
      </c>
      <c r="F235" s="399" t="s">
        <v>636</v>
      </c>
      <c r="G235" s="10">
        <f>G234</f>
        <v>0</v>
      </c>
      <c r="H235" s="10">
        <f>H234</f>
        <v>0</v>
      </c>
    </row>
    <row r="236" spans="1:8" ht="47.25" hidden="1" x14ac:dyDescent="0.25">
      <c r="A236" s="396" t="s">
        <v>278</v>
      </c>
      <c r="B236" s="392" t="s">
        <v>1316</v>
      </c>
      <c r="C236" s="399" t="s">
        <v>264</v>
      </c>
      <c r="D236" s="399" t="s">
        <v>213</v>
      </c>
      <c r="E236" s="399"/>
      <c r="F236" s="399"/>
      <c r="G236" s="389">
        <f t="shared" ref="G236:H237" si="26">G237</f>
        <v>0</v>
      </c>
      <c r="H236" s="389">
        <f t="shared" si="26"/>
        <v>0</v>
      </c>
    </row>
    <row r="237" spans="1:8" ht="47.25" hidden="1" x14ac:dyDescent="0.25">
      <c r="A237" s="396" t="s">
        <v>272</v>
      </c>
      <c r="B237" s="392" t="s">
        <v>1316</v>
      </c>
      <c r="C237" s="399" t="s">
        <v>264</v>
      </c>
      <c r="D237" s="399" t="s">
        <v>213</v>
      </c>
      <c r="E237" s="399" t="s">
        <v>273</v>
      </c>
      <c r="F237" s="399"/>
      <c r="G237" s="389">
        <f t="shared" si="26"/>
        <v>0</v>
      </c>
      <c r="H237" s="389">
        <f t="shared" si="26"/>
        <v>0</v>
      </c>
    </row>
    <row r="238" spans="1:8" ht="15.75" hidden="1" x14ac:dyDescent="0.25">
      <c r="A238" s="396" t="s">
        <v>274</v>
      </c>
      <c r="B238" s="392" t="s">
        <v>1316</v>
      </c>
      <c r="C238" s="399" t="s">
        <v>264</v>
      </c>
      <c r="D238" s="399" t="s">
        <v>213</v>
      </c>
      <c r="E238" s="399" t="s">
        <v>275</v>
      </c>
      <c r="F238" s="399"/>
      <c r="G238" s="389">
        <f>'пр.6.1.ведом.22-23 (2)'!G640</f>
        <v>0</v>
      </c>
      <c r="H238" s="389">
        <f>'пр.6.1.ведом.22-23 (2)'!H640</f>
        <v>0</v>
      </c>
    </row>
    <row r="239" spans="1:8" ht="31.5" hidden="1" x14ac:dyDescent="0.25">
      <c r="A239" s="29" t="s">
        <v>403</v>
      </c>
      <c r="B239" s="392" t="s">
        <v>1316</v>
      </c>
      <c r="C239" s="399" t="s">
        <v>264</v>
      </c>
      <c r="D239" s="399" t="s">
        <v>213</v>
      </c>
      <c r="E239" s="399" t="s">
        <v>275</v>
      </c>
      <c r="F239" s="399" t="s">
        <v>636</v>
      </c>
      <c r="G239" s="10">
        <f>G238</f>
        <v>0</v>
      </c>
      <c r="H239" s="10">
        <f>H238</f>
        <v>0</v>
      </c>
    </row>
    <row r="240" spans="1:8" ht="31.5" hidden="1" x14ac:dyDescent="0.25">
      <c r="A240" s="396" t="s">
        <v>280</v>
      </c>
      <c r="B240" s="392" t="s">
        <v>1317</v>
      </c>
      <c r="C240" s="399" t="s">
        <v>264</v>
      </c>
      <c r="D240" s="399" t="s">
        <v>213</v>
      </c>
      <c r="E240" s="399"/>
      <c r="F240" s="399"/>
      <c r="G240" s="389">
        <f t="shared" ref="G240:H241" si="27">G241</f>
        <v>0</v>
      </c>
      <c r="H240" s="389">
        <f t="shared" si="27"/>
        <v>0</v>
      </c>
    </row>
    <row r="241" spans="1:8" ht="47.25" hidden="1" x14ac:dyDescent="0.25">
      <c r="A241" s="396" t="s">
        <v>272</v>
      </c>
      <c r="B241" s="392" t="s">
        <v>1317</v>
      </c>
      <c r="C241" s="399" t="s">
        <v>264</v>
      </c>
      <c r="D241" s="399" t="s">
        <v>213</v>
      </c>
      <c r="E241" s="399" t="s">
        <v>273</v>
      </c>
      <c r="F241" s="399"/>
      <c r="G241" s="389">
        <f t="shared" si="27"/>
        <v>0</v>
      </c>
      <c r="H241" s="389">
        <f t="shared" si="27"/>
        <v>0</v>
      </c>
    </row>
    <row r="242" spans="1:8" ht="15.75" hidden="1" x14ac:dyDescent="0.25">
      <c r="A242" s="396" t="s">
        <v>274</v>
      </c>
      <c r="B242" s="392" t="s">
        <v>1317</v>
      </c>
      <c r="C242" s="399" t="s">
        <v>264</v>
      </c>
      <c r="D242" s="399" t="s">
        <v>213</v>
      </c>
      <c r="E242" s="399" t="s">
        <v>275</v>
      </c>
      <c r="F242" s="399"/>
      <c r="G242" s="389">
        <f>'пр.6.1.ведом.22-23 (2)'!G643</f>
        <v>0</v>
      </c>
      <c r="H242" s="389">
        <f>'пр.6.1.ведом.22-23 (2)'!H643</f>
        <v>0</v>
      </c>
    </row>
    <row r="243" spans="1:8" ht="31.5" hidden="1" x14ac:dyDescent="0.25">
      <c r="A243" s="29" t="s">
        <v>403</v>
      </c>
      <c r="B243" s="392" t="s">
        <v>1317</v>
      </c>
      <c r="C243" s="399" t="s">
        <v>264</v>
      </c>
      <c r="D243" s="399" t="s">
        <v>213</v>
      </c>
      <c r="E243" s="399" t="s">
        <v>275</v>
      </c>
      <c r="F243" s="399" t="s">
        <v>636</v>
      </c>
      <c r="G243" s="10">
        <f>G242</f>
        <v>0</v>
      </c>
      <c r="H243" s="10">
        <f>H242</f>
        <v>0</v>
      </c>
    </row>
    <row r="244" spans="1:8" ht="47.25" x14ac:dyDescent="0.25">
      <c r="A244" s="29" t="s">
        <v>282</v>
      </c>
      <c r="B244" s="392" t="s">
        <v>1251</v>
      </c>
      <c r="C244" s="399" t="s">
        <v>264</v>
      </c>
      <c r="D244" s="399" t="s">
        <v>213</v>
      </c>
      <c r="E244" s="399"/>
      <c r="F244" s="399"/>
      <c r="G244" s="10">
        <f t="shared" ref="G244:H245" si="28">G245</f>
        <v>224</v>
      </c>
      <c r="H244" s="10">
        <f t="shared" si="28"/>
        <v>224</v>
      </c>
    </row>
    <row r="245" spans="1:8" ht="47.25" x14ac:dyDescent="0.25">
      <c r="A245" s="29" t="s">
        <v>272</v>
      </c>
      <c r="B245" s="392" t="s">
        <v>1251</v>
      </c>
      <c r="C245" s="399" t="s">
        <v>264</v>
      </c>
      <c r="D245" s="399" t="s">
        <v>213</v>
      </c>
      <c r="E245" s="399" t="s">
        <v>273</v>
      </c>
      <c r="F245" s="399"/>
      <c r="G245" s="10">
        <f t="shared" si="28"/>
        <v>224</v>
      </c>
      <c r="H245" s="10">
        <f t="shared" si="28"/>
        <v>224</v>
      </c>
    </row>
    <row r="246" spans="1:8" ht="15.75" x14ac:dyDescent="0.25">
      <c r="A246" s="29" t="s">
        <v>274</v>
      </c>
      <c r="B246" s="392" t="s">
        <v>1251</v>
      </c>
      <c r="C246" s="399" t="s">
        <v>264</v>
      </c>
      <c r="D246" s="399" t="s">
        <v>213</v>
      </c>
      <c r="E246" s="399" t="s">
        <v>275</v>
      </c>
      <c r="F246" s="399"/>
      <c r="G246" s="10">
        <f>'пр.6.1.ведом.22-23 (2)'!G646</f>
        <v>224</v>
      </c>
      <c r="H246" s="10">
        <f>'пр.6.1.ведом.22-23 (2)'!H646</f>
        <v>224</v>
      </c>
    </row>
    <row r="247" spans="1:8" ht="31.5" x14ac:dyDescent="0.25">
      <c r="A247" s="29" t="s">
        <v>403</v>
      </c>
      <c r="B247" s="392" t="s">
        <v>1251</v>
      </c>
      <c r="C247" s="399" t="s">
        <v>264</v>
      </c>
      <c r="D247" s="399" t="s">
        <v>213</v>
      </c>
      <c r="E247" s="399" t="s">
        <v>275</v>
      </c>
      <c r="F247" s="399" t="s">
        <v>636</v>
      </c>
      <c r="G247" s="10">
        <f>G246</f>
        <v>224</v>
      </c>
      <c r="H247" s="10">
        <f>H246</f>
        <v>224</v>
      </c>
    </row>
    <row r="248" spans="1:8" ht="31.5" x14ac:dyDescent="0.25">
      <c r="A248" s="394" t="s">
        <v>942</v>
      </c>
      <c r="B248" s="395" t="s">
        <v>1237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ht="15.75" x14ac:dyDescent="0.25">
      <c r="A249" s="29" t="s">
        <v>263</v>
      </c>
      <c r="B249" s="392" t="s">
        <v>1237</v>
      </c>
      <c r="C249" s="399" t="s">
        <v>264</v>
      </c>
      <c r="D249" s="399"/>
      <c r="E249" s="399"/>
      <c r="F249" s="399"/>
      <c r="G249" s="10">
        <f t="shared" ref="G249:H252" si="29">G250</f>
        <v>5745.1</v>
      </c>
      <c r="H249" s="10">
        <f t="shared" si="29"/>
        <v>5745.1</v>
      </c>
    </row>
    <row r="250" spans="1:8" ht="22.7" customHeight="1" x14ac:dyDescent="0.25">
      <c r="A250" s="29" t="s">
        <v>466</v>
      </c>
      <c r="B250" s="392" t="s">
        <v>1237</v>
      </c>
      <c r="C250" s="399" t="s">
        <v>264</v>
      </c>
      <c r="D250" s="399" t="s">
        <v>264</v>
      </c>
      <c r="E250" s="399"/>
      <c r="F250" s="399"/>
      <c r="G250" s="10">
        <f>G251</f>
        <v>5745.1</v>
      </c>
      <c r="H250" s="10">
        <f>H251</f>
        <v>5745.1</v>
      </c>
    </row>
    <row r="251" spans="1:8" ht="47.25" x14ac:dyDescent="0.25">
      <c r="A251" s="31" t="s">
        <v>1060</v>
      </c>
      <c r="B251" s="392" t="s">
        <v>1259</v>
      </c>
      <c r="C251" s="399" t="s">
        <v>264</v>
      </c>
      <c r="D251" s="399" t="s">
        <v>264</v>
      </c>
      <c r="E251" s="399"/>
      <c r="F251" s="399"/>
      <c r="G251" s="10">
        <f t="shared" si="29"/>
        <v>5745.1</v>
      </c>
      <c r="H251" s="10">
        <f t="shared" si="29"/>
        <v>5745.1</v>
      </c>
    </row>
    <row r="252" spans="1:8" ht="47.25" x14ac:dyDescent="0.25">
      <c r="A252" s="396" t="s">
        <v>272</v>
      </c>
      <c r="B252" s="392" t="s">
        <v>1259</v>
      </c>
      <c r="C252" s="399" t="s">
        <v>264</v>
      </c>
      <c r="D252" s="399" t="s">
        <v>264</v>
      </c>
      <c r="E252" s="399" t="s">
        <v>273</v>
      </c>
      <c r="F252" s="399"/>
      <c r="G252" s="10">
        <f t="shared" si="29"/>
        <v>5745.1</v>
      </c>
      <c r="H252" s="10">
        <f t="shared" si="29"/>
        <v>5745.1</v>
      </c>
    </row>
    <row r="253" spans="1:8" ht="15.75" x14ac:dyDescent="0.25">
      <c r="A253" s="396" t="s">
        <v>274</v>
      </c>
      <c r="B253" s="392" t="s">
        <v>1259</v>
      </c>
      <c r="C253" s="399" t="s">
        <v>264</v>
      </c>
      <c r="D253" s="399" t="s">
        <v>264</v>
      </c>
      <c r="E253" s="399" t="s">
        <v>275</v>
      </c>
      <c r="F253" s="399"/>
      <c r="G253" s="10">
        <f>'пр.6.1.ведом.22-23 (2)'!G725</f>
        <v>5745.1</v>
      </c>
      <c r="H253" s="10">
        <f>'пр.6.1.ведом.22-23 (2)'!H725</f>
        <v>5745.1</v>
      </c>
    </row>
    <row r="254" spans="1:8" ht="31.5" x14ac:dyDescent="0.25">
      <c r="A254" s="29" t="s">
        <v>403</v>
      </c>
      <c r="B254" s="392" t="s">
        <v>1259</v>
      </c>
      <c r="C254" s="399" t="s">
        <v>264</v>
      </c>
      <c r="D254" s="399" t="s">
        <v>264</v>
      </c>
      <c r="E254" s="399" t="s">
        <v>275</v>
      </c>
      <c r="F254" s="399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03" t="s">
        <v>947</v>
      </c>
      <c r="B255" s="395" t="s">
        <v>1238</v>
      </c>
      <c r="C255" s="7"/>
      <c r="D255" s="7"/>
      <c r="E255" s="7"/>
      <c r="F255" s="7"/>
      <c r="G255" s="388">
        <f>G256</f>
        <v>9300</v>
      </c>
      <c r="H255" s="388">
        <f>H256</f>
        <v>9300</v>
      </c>
    </row>
    <row r="256" spans="1:8" ht="15.75" x14ac:dyDescent="0.25">
      <c r="A256" s="29" t="s">
        <v>263</v>
      </c>
      <c r="B256" s="392" t="s">
        <v>1238</v>
      </c>
      <c r="C256" s="399" t="s">
        <v>264</v>
      </c>
      <c r="D256" s="399"/>
      <c r="E256" s="399"/>
      <c r="F256" s="399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392" t="s">
        <v>1238</v>
      </c>
      <c r="C257" s="399" t="s">
        <v>264</v>
      </c>
      <c r="D257" s="399" t="s">
        <v>118</v>
      </c>
      <c r="E257" s="399"/>
      <c r="F257" s="399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392" t="s">
        <v>1256</v>
      </c>
      <c r="C258" s="399" t="s">
        <v>264</v>
      </c>
      <c r="D258" s="399" t="s">
        <v>118</v>
      </c>
      <c r="E258" s="399"/>
      <c r="F258" s="399"/>
      <c r="G258" s="10">
        <f t="shared" ref="G258:H259" si="30">G259</f>
        <v>0</v>
      </c>
      <c r="H258" s="10">
        <f t="shared" si="30"/>
        <v>0</v>
      </c>
    </row>
    <row r="259" spans="1:8" ht="47.25" hidden="1" x14ac:dyDescent="0.25">
      <c r="A259" s="29" t="s">
        <v>272</v>
      </c>
      <c r="B259" s="392" t="s">
        <v>1256</v>
      </c>
      <c r="C259" s="399" t="s">
        <v>264</v>
      </c>
      <c r="D259" s="399" t="s">
        <v>118</v>
      </c>
      <c r="E259" s="399" t="s">
        <v>273</v>
      </c>
      <c r="F259" s="399"/>
      <c r="G259" s="10">
        <f t="shared" si="30"/>
        <v>0</v>
      </c>
      <c r="H259" s="10">
        <f t="shared" si="30"/>
        <v>0</v>
      </c>
    </row>
    <row r="260" spans="1:8" ht="15.75" hidden="1" x14ac:dyDescent="0.25">
      <c r="A260" s="29" t="s">
        <v>274</v>
      </c>
      <c r="B260" s="392" t="s">
        <v>1256</v>
      </c>
      <c r="C260" s="399" t="s">
        <v>264</v>
      </c>
      <c r="D260" s="399" t="s">
        <v>118</v>
      </c>
      <c r="E260" s="399" t="s">
        <v>275</v>
      </c>
      <c r="F260" s="399"/>
      <c r="G260" s="10">
        <f>'пр.6.1.ведом.22-23 (2)'!G581</f>
        <v>0</v>
      </c>
      <c r="H260" s="10">
        <f>'пр.6.1.ведом.22-23 (2)'!H581</f>
        <v>0</v>
      </c>
    </row>
    <row r="261" spans="1:8" ht="31.5" hidden="1" x14ac:dyDescent="0.25">
      <c r="A261" s="29" t="s">
        <v>403</v>
      </c>
      <c r="B261" s="392" t="s">
        <v>1256</v>
      </c>
      <c r="C261" s="399" t="s">
        <v>264</v>
      </c>
      <c r="D261" s="399" t="s">
        <v>118</v>
      </c>
      <c r="E261" s="399" t="s">
        <v>275</v>
      </c>
      <c r="F261" s="399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392" t="s">
        <v>1239</v>
      </c>
      <c r="C262" s="392" t="s">
        <v>264</v>
      </c>
      <c r="D262" s="392" t="s">
        <v>118</v>
      </c>
      <c r="E262" s="392"/>
      <c r="F262" s="392"/>
      <c r="G262" s="10">
        <f t="shared" ref="G262:H263" si="31">G263</f>
        <v>3088</v>
      </c>
      <c r="H262" s="10">
        <f t="shared" si="31"/>
        <v>3088</v>
      </c>
    </row>
    <row r="263" spans="1:8" ht="47.25" x14ac:dyDescent="0.25">
      <c r="A263" s="29" t="s">
        <v>272</v>
      </c>
      <c r="B263" s="392" t="s">
        <v>1239</v>
      </c>
      <c r="C263" s="392" t="s">
        <v>264</v>
      </c>
      <c r="D263" s="392" t="s">
        <v>118</v>
      </c>
      <c r="E263" s="392" t="s">
        <v>273</v>
      </c>
      <c r="F263" s="392"/>
      <c r="G263" s="10">
        <f t="shared" si="31"/>
        <v>3088</v>
      </c>
      <c r="H263" s="10">
        <f t="shared" si="31"/>
        <v>3088</v>
      </c>
    </row>
    <row r="264" spans="1:8" ht="15.75" x14ac:dyDescent="0.25">
      <c r="A264" s="180" t="s">
        <v>274</v>
      </c>
      <c r="B264" s="392" t="s">
        <v>1239</v>
      </c>
      <c r="C264" s="392" t="s">
        <v>264</v>
      </c>
      <c r="D264" s="392" t="s">
        <v>118</v>
      </c>
      <c r="E264" s="392" t="s">
        <v>275</v>
      </c>
      <c r="F264" s="392"/>
      <c r="G264" s="10">
        <f>'пр.6.1.ведом.22-23 (2)'!G584</f>
        <v>3088</v>
      </c>
      <c r="H264" s="10">
        <f>'пр.6.1.ведом.22-23 (2)'!H584</f>
        <v>3088</v>
      </c>
    </row>
    <row r="265" spans="1:8" ht="31.5" x14ac:dyDescent="0.25">
      <c r="A265" s="29" t="s">
        <v>403</v>
      </c>
      <c r="B265" s="392" t="s">
        <v>1239</v>
      </c>
      <c r="C265" s="399" t="s">
        <v>264</v>
      </c>
      <c r="D265" s="399" t="s">
        <v>118</v>
      </c>
      <c r="E265" s="399" t="s">
        <v>275</v>
      </c>
      <c r="F265" s="399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392" t="s">
        <v>1240</v>
      </c>
      <c r="C266" s="392" t="s">
        <v>264</v>
      </c>
      <c r="D266" s="392" t="s">
        <v>118</v>
      </c>
      <c r="E266" s="392"/>
      <c r="F266" s="392"/>
      <c r="G266" s="10">
        <f t="shared" ref="G266:H267" si="32">G267</f>
        <v>1760</v>
      </c>
      <c r="H266" s="10">
        <f t="shared" si="32"/>
        <v>1760</v>
      </c>
    </row>
    <row r="267" spans="1:8" ht="47.25" x14ac:dyDescent="0.25">
      <c r="A267" s="29" t="s">
        <v>272</v>
      </c>
      <c r="B267" s="392" t="s">
        <v>1240</v>
      </c>
      <c r="C267" s="392" t="s">
        <v>264</v>
      </c>
      <c r="D267" s="392" t="s">
        <v>118</v>
      </c>
      <c r="E267" s="392" t="s">
        <v>273</v>
      </c>
      <c r="F267" s="392"/>
      <c r="G267" s="10">
        <f t="shared" si="32"/>
        <v>1760</v>
      </c>
      <c r="H267" s="10">
        <f t="shared" si="32"/>
        <v>1760</v>
      </c>
    </row>
    <row r="268" spans="1:8" ht="15.75" x14ac:dyDescent="0.25">
      <c r="A268" s="180" t="s">
        <v>274</v>
      </c>
      <c r="B268" s="392" t="s">
        <v>1240</v>
      </c>
      <c r="C268" s="392" t="s">
        <v>264</v>
      </c>
      <c r="D268" s="392" t="s">
        <v>118</v>
      </c>
      <c r="E268" s="392" t="s">
        <v>275</v>
      </c>
      <c r="F268" s="392"/>
      <c r="G268" s="10">
        <f>'пр.6.1.ведом.22-23 (2)'!G587</f>
        <v>1760</v>
      </c>
      <c r="H268" s="10">
        <f>'пр.6.1.ведом.22-23 (2)'!H587</f>
        <v>1760</v>
      </c>
    </row>
    <row r="269" spans="1:8" ht="31.5" x14ac:dyDescent="0.25">
      <c r="A269" s="29" t="s">
        <v>403</v>
      </c>
      <c r="B269" s="392" t="s">
        <v>1240</v>
      </c>
      <c r="C269" s="399" t="s">
        <v>264</v>
      </c>
      <c r="D269" s="399" t="s">
        <v>118</v>
      </c>
      <c r="E269" s="399" t="s">
        <v>275</v>
      </c>
      <c r="F269" s="399" t="s">
        <v>636</v>
      </c>
      <c r="G269" s="10">
        <f>G268</f>
        <v>1760</v>
      </c>
      <c r="H269" s="10">
        <f>'пр.6.1.ведом.22-23 (2)'!H587</f>
        <v>1760</v>
      </c>
    </row>
    <row r="270" spans="1:8" ht="15.75" x14ac:dyDescent="0.25">
      <c r="A270" s="29" t="s">
        <v>425</v>
      </c>
      <c r="B270" s="399" t="s">
        <v>1238</v>
      </c>
      <c r="C270" s="399" t="s">
        <v>264</v>
      </c>
      <c r="D270" s="399" t="s">
        <v>213</v>
      </c>
      <c r="E270" s="399"/>
      <c r="F270" s="399"/>
      <c r="G270" s="10">
        <f>G271+G275</f>
        <v>2888</v>
      </c>
      <c r="H270" s="10">
        <f>H271+H275</f>
        <v>2888</v>
      </c>
    </row>
    <row r="271" spans="1:8" ht="31.5" hidden="1" x14ac:dyDescent="0.25">
      <c r="A271" s="29" t="s">
        <v>284</v>
      </c>
      <c r="B271" s="392" t="s">
        <v>1256</v>
      </c>
      <c r="C271" s="399" t="s">
        <v>264</v>
      </c>
      <c r="D271" s="399" t="s">
        <v>213</v>
      </c>
      <c r="E271" s="399"/>
      <c r="F271" s="399"/>
      <c r="G271" s="10">
        <f t="shared" ref="G271:H272" si="33">G272</f>
        <v>0</v>
      </c>
      <c r="H271" s="10">
        <f t="shared" si="33"/>
        <v>0</v>
      </c>
    </row>
    <row r="272" spans="1:8" ht="47.25" hidden="1" x14ac:dyDescent="0.25">
      <c r="A272" s="29" t="s">
        <v>272</v>
      </c>
      <c r="B272" s="392" t="s">
        <v>1256</v>
      </c>
      <c r="C272" s="399" t="s">
        <v>264</v>
      </c>
      <c r="D272" s="399" t="s">
        <v>213</v>
      </c>
      <c r="E272" s="399" t="s">
        <v>273</v>
      </c>
      <c r="F272" s="399"/>
      <c r="G272" s="10">
        <f t="shared" si="33"/>
        <v>0</v>
      </c>
      <c r="H272" s="10">
        <f t="shared" si="33"/>
        <v>0</v>
      </c>
    </row>
    <row r="273" spans="1:8" ht="15.75" hidden="1" x14ac:dyDescent="0.25">
      <c r="A273" s="29" t="s">
        <v>274</v>
      </c>
      <c r="B273" s="392" t="s">
        <v>1256</v>
      </c>
      <c r="C273" s="399" t="s">
        <v>264</v>
      </c>
      <c r="D273" s="399" t="s">
        <v>213</v>
      </c>
      <c r="E273" s="399" t="s">
        <v>275</v>
      </c>
      <c r="F273" s="399"/>
      <c r="G273" s="10">
        <f>'пр.6.1.ведом.22-23 (2)'!G650</f>
        <v>0</v>
      </c>
      <c r="H273" s="10">
        <f>'пр.6.1.ведом.22-23 (2)'!H650</f>
        <v>0</v>
      </c>
    </row>
    <row r="274" spans="1:8" ht="31.5" hidden="1" x14ac:dyDescent="0.25">
      <c r="A274" s="29" t="s">
        <v>403</v>
      </c>
      <c r="B274" s="392" t="s">
        <v>1256</v>
      </c>
      <c r="C274" s="399" t="s">
        <v>264</v>
      </c>
      <c r="D274" s="399" t="s">
        <v>213</v>
      </c>
      <c r="E274" s="399" t="s">
        <v>275</v>
      </c>
      <c r="F274" s="399" t="s">
        <v>636</v>
      </c>
      <c r="G274" s="10">
        <f>G273</f>
        <v>0</v>
      </c>
      <c r="H274" s="10">
        <f>H273</f>
        <v>0</v>
      </c>
    </row>
    <row r="275" spans="1:8" ht="47.25" x14ac:dyDescent="0.25">
      <c r="A275" s="60" t="s">
        <v>764</v>
      </c>
      <c r="B275" s="392" t="s">
        <v>1239</v>
      </c>
      <c r="C275" s="399" t="s">
        <v>264</v>
      </c>
      <c r="D275" s="399" t="s">
        <v>213</v>
      </c>
      <c r="E275" s="399"/>
      <c r="F275" s="399"/>
      <c r="G275" s="10">
        <f t="shared" ref="G275:H276" si="34">G276</f>
        <v>2888</v>
      </c>
      <c r="H275" s="10">
        <f t="shared" si="34"/>
        <v>2888</v>
      </c>
    </row>
    <row r="276" spans="1:8" ht="47.25" x14ac:dyDescent="0.25">
      <c r="A276" s="29" t="s">
        <v>272</v>
      </c>
      <c r="B276" s="392" t="s">
        <v>1239</v>
      </c>
      <c r="C276" s="399" t="s">
        <v>264</v>
      </c>
      <c r="D276" s="399" t="s">
        <v>213</v>
      </c>
      <c r="E276" s="399" t="s">
        <v>273</v>
      </c>
      <c r="F276" s="399"/>
      <c r="G276" s="10">
        <f t="shared" si="34"/>
        <v>2888</v>
      </c>
      <c r="H276" s="10">
        <f t="shared" si="34"/>
        <v>2888</v>
      </c>
    </row>
    <row r="277" spans="1:8" ht="15.75" x14ac:dyDescent="0.25">
      <c r="A277" s="180" t="s">
        <v>274</v>
      </c>
      <c r="B277" s="392" t="s">
        <v>1239</v>
      </c>
      <c r="C277" s="399" t="s">
        <v>264</v>
      </c>
      <c r="D277" s="399" t="s">
        <v>213</v>
      </c>
      <c r="E277" s="399" t="s">
        <v>275</v>
      </c>
      <c r="F277" s="399"/>
      <c r="G277" s="10">
        <f>'пр.6.1.ведом.22-23 (2)'!G653</f>
        <v>2888</v>
      </c>
      <c r="H277" s="10">
        <f>'пр.6.1.ведом.22-23 (2)'!H653</f>
        <v>2888</v>
      </c>
    </row>
    <row r="278" spans="1:8" ht="31.5" x14ac:dyDescent="0.25">
      <c r="A278" s="29" t="s">
        <v>403</v>
      </c>
      <c r="B278" s="392" t="s">
        <v>1239</v>
      </c>
      <c r="C278" s="399" t="s">
        <v>264</v>
      </c>
      <c r="D278" s="399" t="s">
        <v>213</v>
      </c>
      <c r="E278" s="399" t="s">
        <v>275</v>
      </c>
      <c r="F278" s="399" t="s">
        <v>636</v>
      </c>
      <c r="G278" s="10">
        <f>G277</f>
        <v>2888</v>
      </c>
      <c r="H278" s="10">
        <f>H277</f>
        <v>2888</v>
      </c>
    </row>
    <row r="279" spans="1:8" ht="15.75" x14ac:dyDescent="0.25">
      <c r="A279" s="29" t="s">
        <v>265</v>
      </c>
      <c r="B279" s="399" t="s">
        <v>1238</v>
      </c>
      <c r="C279" s="399" t="s">
        <v>264</v>
      </c>
      <c r="D279" s="399" t="s">
        <v>215</v>
      </c>
      <c r="E279" s="399"/>
      <c r="F279" s="399"/>
      <c r="G279" s="10">
        <f>G280</f>
        <v>1564</v>
      </c>
      <c r="H279" s="10">
        <f>H280</f>
        <v>1564</v>
      </c>
    </row>
    <row r="280" spans="1:8" ht="47.25" x14ac:dyDescent="0.25">
      <c r="A280" s="45" t="s">
        <v>764</v>
      </c>
      <c r="B280" s="392" t="s">
        <v>1239</v>
      </c>
      <c r="C280" s="392" t="s">
        <v>264</v>
      </c>
      <c r="D280" s="392" t="s">
        <v>215</v>
      </c>
      <c r="E280" s="392"/>
      <c r="F280" s="392"/>
      <c r="G280" s="10">
        <f t="shared" ref="G280:H281" si="35">G281</f>
        <v>1564</v>
      </c>
      <c r="H280" s="10">
        <f t="shared" si="35"/>
        <v>1564</v>
      </c>
    </row>
    <row r="281" spans="1:8" ht="47.25" x14ac:dyDescent="0.25">
      <c r="A281" s="29" t="s">
        <v>272</v>
      </c>
      <c r="B281" s="392" t="s">
        <v>1239</v>
      </c>
      <c r="C281" s="392" t="s">
        <v>264</v>
      </c>
      <c r="D281" s="392" t="s">
        <v>215</v>
      </c>
      <c r="E281" s="392" t="s">
        <v>273</v>
      </c>
      <c r="F281" s="392"/>
      <c r="G281" s="10">
        <f t="shared" si="35"/>
        <v>1564</v>
      </c>
      <c r="H281" s="10">
        <f t="shared" si="35"/>
        <v>1564</v>
      </c>
    </row>
    <row r="282" spans="1:8" ht="15.75" x14ac:dyDescent="0.25">
      <c r="A282" s="31" t="s">
        <v>274</v>
      </c>
      <c r="B282" s="392" t="s">
        <v>1239</v>
      </c>
      <c r="C282" s="392" t="s">
        <v>264</v>
      </c>
      <c r="D282" s="392" t="s">
        <v>215</v>
      </c>
      <c r="E282" s="392" t="s">
        <v>275</v>
      </c>
      <c r="F282" s="392"/>
      <c r="G282" s="10">
        <f>'пр.6.1.ведом.22-23 (2)'!G714</f>
        <v>1564</v>
      </c>
      <c r="H282" s="10">
        <f>'пр.6.1.ведом.22-23 (2)'!H714</f>
        <v>1564</v>
      </c>
    </row>
    <row r="283" spans="1:8" ht="31.5" x14ac:dyDescent="0.25">
      <c r="A283" s="29" t="s">
        <v>403</v>
      </c>
      <c r="B283" s="392" t="s">
        <v>1239</v>
      </c>
      <c r="C283" s="399" t="s">
        <v>264</v>
      </c>
      <c r="D283" s="399" t="s">
        <v>215</v>
      </c>
      <c r="E283" s="399" t="s">
        <v>275</v>
      </c>
      <c r="F283" s="399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394" t="s">
        <v>932</v>
      </c>
      <c r="B284" s="395" t="s">
        <v>1241</v>
      </c>
      <c r="C284" s="395"/>
      <c r="D284" s="395"/>
      <c r="E284" s="395"/>
      <c r="F284" s="395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392" t="s">
        <v>1241</v>
      </c>
      <c r="C285" s="399" t="s">
        <v>264</v>
      </c>
      <c r="D285" s="399"/>
      <c r="E285" s="399"/>
      <c r="F285" s="399"/>
      <c r="G285" s="10">
        <f t="shared" ref="G285:H288" si="36">G286</f>
        <v>297.70000000000005</v>
      </c>
      <c r="H285" s="10">
        <f t="shared" si="36"/>
        <v>297.70000000000005</v>
      </c>
    </row>
    <row r="286" spans="1:8" ht="15.75" x14ac:dyDescent="0.25">
      <c r="A286" s="45" t="s">
        <v>404</v>
      </c>
      <c r="B286" s="392" t="s">
        <v>1241</v>
      </c>
      <c r="C286" s="399" t="s">
        <v>264</v>
      </c>
      <c r="D286" s="399" t="s">
        <v>118</v>
      </c>
      <c r="E286" s="399"/>
      <c r="F286" s="399"/>
      <c r="G286" s="10">
        <f t="shared" si="36"/>
        <v>297.70000000000005</v>
      </c>
      <c r="H286" s="10">
        <f t="shared" si="36"/>
        <v>297.70000000000005</v>
      </c>
    </row>
    <row r="287" spans="1:8" ht="126" x14ac:dyDescent="0.25">
      <c r="A287" s="396" t="s">
        <v>1491</v>
      </c>
      <c r="B287" s="392" t="s">
        <v>1242</v>
      </c>
      <c r="C287" s="392" t="s">
        <v>264</v>
      </c>
      <c r="D287" s="392" t="s">
        <v>118</v>
      </c>
      <c r="E287" s="392"/>
      <c r="F287" s="392"/>
      <c r="G287" s="10">
        <f t="shared" si="36"/>
        <v>297.70000000000005</v>
      </c>
      <c r="H287" s="10">
        <f t="shared" si="36"/>
        <v>297.70000000000005</v>
      </c>
    </row>
    <row r="288" spans="1:8" ht="47.25" x14ac:dyDescent="0.25">
      <c r="A288" s="396" t="s">
        <v>272</v>
      </c>
      <c r="B288" s="392" t="s">
        <v>1242</v>
      </c>
      <c r="C288" s="392" t="s">
        <v>264</v>
      </c>
      <c r="D288" s="392" t="s">
        <v>118</v>
      </c>
      <c r="E288" s="392" t="s">
        <v>273</v>
      </c>
      <c r="F288" s="392"/>
      <c r="G288" s="10">
        <f t="shared" si="36"/>
        <v>297.70000000000005</v>
      </c>
      <c r="H288" s="10">
        <f t="shared" si="36"/>
        <v>297.70000000000005</v>
      </c>
    </row>
    <row r="289" spans="1:8" ht="15.75" x14ac:dyDescent="0.25">
      <c r="A289" s="396" t="s">
        <v>274</v>
      </c>
      <c r="B289" s="392" t="s">
        <v>1242</v>
      </c>
      <c r="C289" s="392" t="s">
        <v>264</v>
      </c>
      <c r="D289" s="392" t="s">
        <v>118</v>
      </c>
      <c r="E289" s="392" t="s">
        <v>275</v>
      </c>
      <c r="F289" s="392"/>
      <c r="G289" s="10">
        <f>'пр.6.1.ведом.22-23 (2)'!G591</f>
        <v>297.70000000000005</v>
      </c>
      <c r="H289" s="10">
        <f>'пр.6.1.ведом.22-23 (2)'!H591</f>
        <v>297.70000000000005</v>
      </c>
    </row>
    <row r="290" spans="1:8" ht="31.5" x14ac:dyDescent="0.25">
      <c r="A290" s="29" t="s">
        <v>403</v>
      </c>
      <c r="B290" s="392" t="s">
        <v>1242</v>
      </c>
      <c r="C290" s="399" t="s">
        <v>264</v>
      </c>
      <c r="D290" s="399" t="s">
        <v>118</v>
      </c>
      <c r="E290" s="399" t="s">
        <v>275</v>
      </c>
      <c r="F290" s="399" t="s">
        <v>636</v>
      </c>
      <c r="G290" s="10">
        <f>G289</f>
        <v>297.70000000000005</v>
      </c>
      <c r="H290" s="10">
        <f>H289</f>
        <v>297.70000000000005</v>
      </c>
    </row>
    <row r="291" spans="1:8" ht="47.25" x14ac:dyDescent="0.25">
      <c r="A291" s="394" t="s">
        <v>937</v>
      </c>
      <c r="B291" s="395" t="s">
        <v>1252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ht="15.75" x14ac:dyDescent="0.25">
      <c r="A292" s="29" t="s">
        <v>263</v>
      </c>
      <c r="B292" s="392" t="s">
        <v>1252</v>
      </c>
      <c r="C292" s="399" t="s">
        <v>264</v>
      </c>
      <c r="D292" s="399"/>
      <c r="E292" s="399"/>
      <c r="F292" s="399"/>
      <c r="G292" s="10">
        <f t="shared" ref="G292:H292" si="37">G293</f>
        <v>3931.8</v>
      </c>
      <c r="H292" s="10">
        <f t="shared" si="37"/>
        <v>3865.2</v>
      </c>
    </row>
    <row r="293" spans="1:8" ht="15.75" x14ac:dyDescent="0.25">
      <c r="A293" s="29" t="s">
        <v>425</v>
      </c>
      <c r="B293" s="392" t="s">
        <v>1252</v>
      </c>
      <c r="C293" s="399" t="s">
        <v>264</v>
      </c>
      <c r="D293" s="399" t="s">
        <v>213</v>
      </c>
      <c r="E293" s="399"/>
      <c r="F293" s="399"/>
      <c r="G293" s="10">
        <f>G294</f>
        <v>3931.8</v>
      </c>
      <c r="H293" s="10">
        <f>H294</f>
        <v>3865.2</v>
      </c>
    </row>
    <row r="294" spans="1:8" ht="47.25" x14ac:dyDescent="0.25">
      <c r="A294" s="29" t="s">
        <v>602</v>
      </c>
      <c r="B294" s="392" t="s">
        <v>1253</v>
      </c>
      <c r="C294" s="399" t="s">
        <v>264</v>
      </c>
      <c r="D294" s="399" t="s">
        <v>213</v>
      </c>
      <c r="E294" s="399"/>
      <c r="F294" s="399"/>
      <c r="G294" s="10">
        <f t="shared" ref="G294:H295" si="38">G295</f>
        <v>3931.8</v>
      </c>
      <c r="H294" s="10">
        <f t="shared" si="38"/>
        <v>3865.2</v>
      </c>
    </row>
    <row r="295" spans="1:8" ht="47.25" x14ac:dyDescent="0.25">
      <c r="A295" s="29" t="s">
        <v>272</v>
      </c>
      <c r="B295" s="392" t="s">
        <v>1253</v>
      </c>
      <c r="C295" s="399" t="s">
        <v>264</v>
      </c>
      <c r="D295" s="399" t="s">
        <v>213</v>
      </c>
      <c r="E295" s="399" t="s">
        <v>273</v>
      </c>
      <c r="F295" s="399"/>
      <c r="G295" s="10">
        <f t="shared" si="38"/>
        <v>3931.8</v>
      </c>
      <c r="H295" s="10">
        <f t="shared" si="38"/>
        <v>3865.2</v>
      </c>
    </row>
    <row r="296" spans="1:8" ht="15.75" x14ac:dyDescent="0.25">
      <c r="A296" s="29" t="s">
        <v>274</v>
      </c>
      <c r="B296" s="392" t="s">
        <v>1253</v>
      </c>
      <c r="C296" s="399" t="s">
        <v>264</v>
      </c>
      <c r="D296" s="399" t="s">
        <v>213</v>
      </c>
      <c r="E296" s="399" t="s">
        <v>275</v>
      </c>
      <c r="F296" s="399"/>
      <c r="G296" s="389">
        <f>'пр.6.1.ведом.22-23 (2)'!G657</f>
        <v>3931.8</v>
      </c>
      <c r="H296" s="389">
        <f>'пр.6.1.ведом.22-23 (2)'!H657</f>
        <v>3865.2</v>
      </c>
    </row>
    <row r="297" spans="1:8" ht="31.5" x14ac:dyDescent="0.25">
      <c r="A297" s="29" t="s">
        <v>403</v>
      </c>
      <c r="B297" s="392" t="s">
        <v>1253</v>
      </c>
      <c r="C297" s="399" t="s">
        <v>264</v>
      </c>
      <c r="D297" s="399" t="s">
        <v>213</v>
      </c>
      <c r="E297" s="399" t="s">
        <v>275</v>
      </c>
      <c r="F297" s="399" t="s">
        <v>636</v>
      </c>
      <c r="G297" s="10">
        <f>G296</f>
        <v>3931.8</v>
      </c>
      <c r="H297" s="10">
        <f>H296</f>
        <v>3865.2</v>
      </c>
    </row>
    <row r="298" spans="1:8" ht="31.5" x14ac:dyDescent="0.25">
      <c r="A298" s="394" t="s">
        <v>938</v>
      </c>
      <c r="B298" s="395" t="s">
        <v>1254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ht="15.75" x14ac:dyDescent="0.25">
      <c r="A299" s="29" t="s">
        <v>263</v>
      </c>
      <c r="B299" s="392" t="s">
        <v>1254</v>
      </c>
      <c r="C299" s="399" t="s">
        <v>264</v>
      </c>
      <c r="D299" s="399"/>
      <c r="E299" s="399"/>
      <c r="F299" s="399"/>
      <c r="G299" s="10">
        <f t="shared" ref="G299:H302" si="39">G300</f>
        <v>1384.6</v>
      </c>
      <c r="H299" s="10">
        <f t="shared" si="39"/>
        <v>1384.6</v>
      </c>
    </row>
    <row r="300" spans="1:8" ht="15.75" x14ac:dyDescent="0.25">
      <c r="A300" s="29" t="s">
        <v>425</v>
      </c>
      <c r="B300" s="392" t="s">
        <v>1254</v>
      </c>
      <c r="C300" s="399" t="s">
        <v>264</v>
      </c>
      <c r="D300" s="399" t="s">
        <v>213</v>
      </c>
      <c r="E300" s="399"/>
      <c r="F300" s="399"/>
      <c r="G300" s="10">
        <f t="shared" si="39"/>
        <v>1384.6</v>
      </c>
      <c r="H300" s="10">
        <f t="shared" si="39"/>
        <v>1384.6</v>
      </c>
    </row>
    <row r="301" spans="1:8" ht="63" x14ac:dyDescent="0.25">
      <c r="A301" s="396" t="s">
        <v>438</v>
      </c>
      <c r="B301" s="392" t="s">
        <v>1255</v>
      </c>
      <c r="C301" s="399" t="s">
        <v>264</v>
      </c>
      <c r="D301" s="399" t="s">
        <v>213</v>
      </c>
      <c r="E301" s="399"/>
      <c r="F301" s="399"/>
      <c r="G301" s="10">
        <f t="shared" si="39"/>
        <v>1384.6</v>
      </c>
      <c r="H301" s="10">
        <f t="shared" si="39"/>
        <v>1384.6</v>
      </c>
    </row>
    <row r="302" spans="1:8" ht="47.25" x14ac:dyDescent="0.25">
      <c r="A302" s="396" t="s">
        <v>272</v>
      </c>
      <c r="B302" s="392" t="s">
        <v>1255</v>
      </c>
      <c r="C302" s="399" t="s">
        <v>264</v>
      </c>
      <c r="D302" s="399" t="s">
        <v>213</v>
      </c>
      <c r="E302" s="399" t="s">
        <v>273</v>
      </c>
      <c r="F302" s="399"/>
      <c r="G302" s="10">
        <f t="shared" si="39"/>
        <v>1384.6</v>
      </c>
      <c r="H302" s="10">
        <f t="shared" si="39"/>
        <v>1384.6</v>
      </c>
    </row>
    <row r="303" spans="1:8" ht="15.75" x14ac:dyDescent="0.25">
      <c r="A303" s="396" t="s">
        <v>274</v>
      </c>
      <c r="B303" s="392" t="s">
        <v>1255</v>
      </c>
      <c r="C303" s="399" t="s">
        <v>264</v>
      </c>
      <c r="D303" s="399" t="s">
        <v>213</v>
      </c>
      <c r="E303" s="399" t="s">
        <v>275</v>
      </c>
      <c r="F303" s="399"/>
      <c r="G303" s="10">
        <f>'пр.6.1.ведом.22-23 (2)'!G661</f>
        <v>1384.6</v>
      </c>
      <c r="H303" s="10">
        <f>'пр.6.1.ведом.22-23 (2)'!H661</f>
        <v>1384.6</v>
      </c>
    </row>
    <row r="304" spans="1:8" ht="31.5" x14ac:dyDescent="0.25">
      <c r="A304" s="29" t="s">
        <v>403</v>
      </c>
      <c r="B304" s="392" t="s">
        <v>1255</v>
      </c>
      <c r="C304" s="399" t="s">
        <v>264</v>
      </c>
      <c r="D304" s="399" t="s">
        <v>213</v>
      </c>
      <c r="E304" s="399" t="s">
        <v>275</v>
      </c>
      <c r="F304" s="399" t="s">
        <v>636</v>
      </c>
      <c r="G304" s="10">
        <f>G303</f>
        <v>1384.6</v>
      </c>
      <c r="H304" s="10">
        <f>H303</f>
        <v>1384.6</v>
      </c>
    </row>
    <row r="305" spans="1:8" ht="47.25" x14ac:dyDescent="0.25">
      <c r="A305" s="201" t="s">
        <v>939</v>
      </c>
      <c r="B305" s="395" t="s">
        <v>1257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ht="15.75" x14ac:dyDescent="0.25">
      <c r="A306" s="29" t="s">
        <v>263</v>
      </c>
      <c r="B306" s="392" t="s">
        <v>1257</v>
      </c>
      <c r="C306" s="399" t="s">
        <v>264</v>
      </c>
      <c r="D306" s="399"/>
      <c r="E306" s="399"/>
      <c r="F306" s="399"/>
      <c r="G306" s="10">
        <f t="shared" ref="G306:H309" si="40">G307</f>
        <v>755.8</v>
      </c>
      <c r="H306" s="10">
        <f t="shared" si="40"/>
        <v>759</v>
      </c>
    </row>
    <row r="307" spans="1:8" ht="15.75" x14ac:dyDescent="0.25">
      <c r="A307" s="29" t="s">
        <v>425</v>
      </c>
      <c r="B307" s="392" t="s">
        <v>1257</v>
      </c>
      <c r="C307" s="399" t="s">
        <v>264</v>
      </c>
      <c r="D307" s="399" t="s">
        <v>213</v>
      </c>
      <c r="E307" s="399"/>
      <c r="F307" s="399"/>
      <c r="G307" s="10">
        <f t="shared" si="40"/>
        <v>755.8</v>
      </c>
      <c r="H307" s="10">
        <f t="shared" si="40"/>
        <v>759</v>
      </c>
    </row>
    <row r="308" spans="1:8" ht="63" x14ac:dyDescent="0.25">
      <c r="A308" s="180" t="s">
        <v>827</v>
      </c>
      <c r="B308" s="392" t="s">
        <v>1422</v>
      </c>
      <c r="C308" s="399" t="s">
        <v>264</v>
      </c>
      <c r="D308" s="399" t="s">
        <v>213</v>
      </c>
      <c r="E308" s="399"/>
      <c r="F308" s="399"/>
      <c r="G308" s="10">
        <f t="shared" si="40"/>
        <v>755.8</v>
      </c>
      <c r="H308" s="10">
        <f t="shared" si="40"/>
        <v>759</v>
      </c>
    </row>
    <row r="309" spans="1:8" ht="47.25" x14ac:dyDescent="0.25">
      <c r="A309" s="29" t="s">
        <v>272</v>
      </c>
      <c r="B309" s="392" t="s">
        <v>1422</v>
      </c>
      <c r="C309" s="399" t="s">
        <v>264</v>
      </c>
      <c r="D309" s="399" t="s">
        <v>213</v>
      </c>
      <c r="E309" s="399" t="s">
        <v>273</v>
      </c>
      <c r="F309" s="399"/>
      <c r="G309" s="10">
        <f t="shared" si="40"/>
        <v>755.8</v>
      </c>
      <c r="H309" s="10">
        <f t="shared" si="40"/>
        <v>759</v>
      </c>
    </row>
    <row r="310" spans="1:8" ht="15.75" x14ac:dyDescent="0.25">
      <c r="A310" s="180" t="s">
        <v>274</v>
      </c>
      <c r="B310" s="392" t="s">
        <v>1422</v>
      </c>
      <c r="C310" s="399" t="s">
        <v>264</v>
      </c>
      <c r="D310" s="399" t="s">
        <v>213</v>
      </c>
      <c r="E310" s="399" t="s">
        <v>275</v>
      </c>
      <c r="F310" s="399"/>
      <c r="G310" s="10">
        <f>'пр.6.1.ведом.22-23 (2)'!G665</f>
        <v>755.8</v>
      </c>
      <c r="H310" s="10">
        <f>'пр.6.1.ведом.22-23 (2)'!H665</f>
        <v>759</v>
      </c>
    </row>
    <row r="311" spans="1:8" ht="31.5" x14ac:dyDescent="0.25">
      <c r="A311" s="29" t="s">
        <v>403</v>
      </c>
      <c r="B311" s="392" t="s">
        <v>1422</v>
      </c>
      <c r="C311" s="399" t="s">
        <v>264</v>
      </c>
      <c r="D311" s="399" t="s">
        <v>213</v>
      </c>
      <c r="E311" s="399" t="s">
        <v>275</v>
      </c>
      <c r="F311" s="399" t="s">
        <v>636</v>
      </c>
      <c r="G311" s="10">
        <f>G310</f>
        <v>755.8</v>
      </c>
      <c r="H311" s="10">
        <f>H310</f>
        <v>759</v>
      </c>
    </row>
    <row r="312" spans="1:8" ht="126" x14ac:dyDescent="0.25">
      <c r="A312" s="394" t="s">
        <v>1164</v>
      </c>
      <c r="B312" s="395" t="s">
        <v>1244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ht="15.75" x14ac:dyDescent="0.25">
      <c r="A313" s="29" t="s">
        <v>263</v>
      </c>
      <c r="B313" s="392" t="s">
        <v>1244</v>
      </c>
      <c r="C313" s="399" t="s">
        <v>264</v>
      </c>
      <c r="D313" s="399"/>
      <c r="E313" s="399"/>
      <c r="F313" s="399"/>
      <c r="G313" s="10">
        <f>G314</f>
        <v>1666.6</v>
      </c>
      <c r="H313" s="10">
        <f>H314</f>
        <v>915</v>
      </c>
    </row>
    <row r="314" spans="1:8" ht="15.75" x14ac:dyDescent="0.25">
      <c r="A314" s="45" t="s">
        <v>404</v>
      </c>
      <c r="B314" s="392" t="s">
        <v>1244</v>
      </c>
      <c r="C314" s="399" t="s">
        <v>264</v>
      </c>
      <c r="D314" s="399" t="s">
        <v>118</v>
      </c>
      <c r="E314" s="399"/>
      <c r="F314" s="399"/>
      <c r="G314" s="10">
        <f>G315+G319</f>
        <v>1666.6</v>
      </c>
      <c r="H314" s="10">
        <f>H315+H319</f>
        <v>915</v>
      </c>
    </row>
    <row r="315" spans="1:8" ht="94.5" hidden="1" x14ac:dyDescent="0.25">
      <c r="A315" s="148" t="s">
        <v>1183</v>
      </c>
      <c r="B315" s="392" t="s">
        <v>1245</v>
      </c>
      <c r="C315" s="399" t="s">
        <v>264</v>
      </c>
      <c r="D315" s="399" t="s">
        <v>118</v>
      </c>
      <c r="E315" s="399"/>
      <c r="F315" s="399"/>
      <c r="G315" s="10">
        <f>G316</f>
        <v>0</v>
      </c>
      <c r="H315" s="10">
        <f>H316</f>
        <v>0</v>
      </c>
    </row>
    <row r="316" spans="1:8" ht="47.25" hidden="1" x14ac:dyDescent="0.25">
      <c r="A316" s="396" t="s">
        <v>272</v>
      </c>
      <c r="B316" s="392" t="s">
        <v>1245</v>
      </c>
      <c r="C316" s="399" t="s">
        <v>264</v>
      </c>
      <c r="D316" s="399" t="s">
        <v>118</v>
      </c>
      <c r="E316" s="399" t="s">
        <v>273</v>
      </c>
      <c r="F316" s="399"/>
      <c r="G316" s="10">
        <f>G317</f>
        <v>0</v>
      </c>
      <c r="H316" s="10">
        <f>H317</f>
        <v>0</v>
      </c>
    </row>
    <row r="317" spans="1:8" ht="15.75" hidden="1" x14ac:dyDescent="0.25">
      <c r="A317" s="396" t="s">
        <v>274</v>
      </c>
      <c r="B317" s="392" t="s">
        <v>1245</v>
      </c>
      <c r="C317" s="399" t="s">
        <v>264</v>
      </c>
      <c r="D317" s="399" t="s">
        <v>118</v>
      </c>
      <c r="E317" s="399" t="s">
        <v>275</v>
      </c>
      <c r="F317" s="399"/>
      <c r="G317" s="10">
        <f>'пр.6.1.ведом.22-23 (2)'!G595</f>
        <v>0</v>
      </c>
      <c r="H317" s="10">
        <f>'пр.6.1.ведом.22-23 (2)'!H595</f>
        <v>0</v>
      </c>
    </row>
    <row r="318" spans="1:8" ht="31.5" hidden="1" x14ac:dyDescent="0.25">
      <c r="A318" s="29" t="s">
        <v>403</v>
      </c>
      <c r="B318" s="392" t="s">
        <v>1245</v>
      </c>
      <c r="C318" s="399" t="s">
        <v>264</v>
      </c>
      <c r="D318" s="399" t="s">
        <v>118</v>
      </c>
      <c r="E318" s="399" t="s">
        <v>275</v>
      </c>
      <c r="F318" s="399" t="s">
        <v>636</v>
      </c>
      <c r="G318" s="10">
        <f>G315</f>
        <v>0</v>
      </c>
      <c r="H318" s="10">
        <f>H315</f>
        <v>0</v>
      </c>
    </row>
    <row r="319" spans="1:8" ht="110.25" x14ac:dyDescent="0.25">
      <c r="A319" s="148" t="s">
        <v>1474</v>
      </c>
      <c r="B319" s="392" t="s">
        <v>1245</v>
      </c>
      <c r="C319" s="399" t="s">
        <v>264</v>
      </c>
      <c r="D319" s="399" t="s">
        <v>118</v>
      </c>
      <c r="E319" s="399"/>
      <c r="F319" s="399"/>
      <c r="G319" s="10">
        <f>G320</f>
        <v>1666.6</v>
      </c>
      <c r="H319" s="10">
        <f>H320</f>
        <v>915</v>
      </c>
    </row>
    <row r="320" spans="1:8" ht="47.25" x14ac:dyDescent="0.25">
      <c r="A320" s="396" t="s">
        <v>272</v>
      </c>
      <c r="B320" s="392" t="s">
        <v>1245</v>
      </c>
      <c r="C320" s="399" t="s">
        <v>264</v>
      </c>
      <c r="D320" s="399" t="s">
        <v>118</v>
      </c>
      <c r="E320" s="399" t="s">
        <v>273</v>
      </c>
      <c r="F320" s="399"/>
      <c r="G320" s="10">
        <f>G321</f>
        <v>1666.6</v>
      </c>
      <c r="H320" s="10">
        <f>H321</f>
        <v>915</v>
      </c>
    </row>
    <row r="321" spans="1:8" ht="15.75" x14ac:dyDescent="0.25">
      <c r="A321" s="396" t="s">
        <v>274</v>
      </c>
      <c r="B321" s="392" t="s">
        <v>1245</v>
      </c>
      <c r="C321" s="399" t="s">
        <v>264</v>
      </c>
      <c r="D321" s="399" t="s">
        <v>118</v>
      </c>
      <c r="E321" s="399" t="s">
        <v>275</v>
      </c>
      <c r="F321" s="399"/>
      <c r="G321" s="10">
        <f>'пр.6.1.ведом.22-23 (2)'!G598</f>
        <v>1666.6</v>
      </c>
      <c r="H321" s="10">
        <f>'пр.6.1.ведом.22-23 (2)'!H598</f>
        <v>915</v>
      </c>
    </row>
    <row r="322" spans="1:8" ht="31.5" x14ac:dyDescent="0.25">
      <c r="A322" s="29" t="s">
        <v>403</v>
      </c>
      <c r="B322" s="392" t="s">
        <v>1245</v>
      </c>
      <c r="C322" s="399" t="s">
        <v>264</v>
      </c>
      <c r="D322" s="399" t="s">
        <v>118</v>
      </c>
      <c r="E322" s="399" t="s">
        <v>275</v>
      </c>
      <c r="F322" s="399" t="s">
        <v>636</v>
      </c>
      <c r="G322" s="10">
        <f>G319</f>
        <v>1666.6</v>
      </c>
      <c r="H322" s="10">
        <f>H319</f>
        <v>915</v>
      </c>
    </row>
    <row r="323" spans="1:8" ht="47.25" x14ac:dyDescent="0.25">
      <c r="A323" s="268" t="s">
        <v>1404</v>
      </c>
      <c r="B323" s="395" t="s">
        <v>1403</v>
      </c>
      <c r="C323" s="395"/>
      <c r="D323" s="395"/>
      <c r="E323" s="395"/>
      <c r="F323" s="7"/>
      <c r="G323" s="59">
        <f t="shared" ref="G323:H327" si="41">G324</f>
        <v>5415.6500000000005</v>
      </c>
      <c r="H323" s="59">
        <f t="shared" si="41"/>
        <v>5142.4500000000007</v>
      </c>
    </row>
    <row r="324" spans="1:8" ht="15.75" x14ac:dyDescent="0.25">
      <c r="A324" s="180" t="s">
        <v>263</v>
      </c>
      <c r="B324" s="392" t="s">
        <v>1403</v>
      </c>
      <c r="C324" s="392" t="s">
        <v>264</v>
      </c>
      <c r="D324" s="392"/>
      <c r="E324" s="392"/>
      <c r="F324" s="399"/>
      <c r="G324" s="10">
        <f t="shared" si="41"/>
        <v>5415.6500000000005</v>
      </c>
      <c r="H324" s="10">
        <f t="shared" si="41"/>
        <v>5142.4500000000007</v>
      </c>
    </row>
    <row r="325" spans="1:8" ht="15.75" x14ac:dyDescent="0.25">
      <c r="A325" s="180" t="s">
        <v>425</v>
      </c>
      <c r="B325" s="392" t="s">
        <v>1403</v>
      </c>
      <c r="C325" s="392" t="s">
        <v>264</v>
      </c>
      <c r="D325" s="392" t="s">
        <v>213</v>
      </c>
      <c r="E325" s="392"/>
      <c r="F325" s="399"/>
      <c r="G325" s="10">
        <f t="shared" si="41"/>
        <v>5415.6500000000005</v>
      </c>
      <c r="H325" s="10">
        <f t="shared" si="41"/>
        <v>5142.4500000000007</v>
      </c>
    </row>
    <row r="326" spans="1:8" ht="78.75" x14ac:dyDescent="0.25">
      <c r="A326" s="267" t="s">
        <v>1390</v>
      </c>
      <c r="B326" s="392" t="s">
        <v>1442</v>
      </c>
      <c r="C326" s="392" t="s">
        <v>264</v>
      </c>
      <c r="D326" s="392" t="s">
        <v>213</v>
      </c>
      <c r="E326" s="392"/>
      <c r="F326" s="399"/>
      <c r="G326" s="10">
        <f t="shared" si="41"/>
        <v>5415.6500000000005</v>
      </c>
      <c r="H326" s="10">
        <f t="shared" si="41"/>
        <v>5142.4500000000007</v>
      </c>
    </row>
    <row r="327" spans="1:8" ht="47.25" x14ac:dyDescent="0.25">
      <c r="A327" s="31" t="s">
        <v>272</v>
      </c>
      <c r="B327" s="392" t="s">
        <v>1442</v>
      </c>
      <c r="C327" s="392" t="s">
        <v>264</v>
      </c>
      <c r="D327" s="392" t="s">
        <v>213</v>
      </c>
      <c r="E327" s="392" t="s">
        <v>273</v>
      </c>
      <c r="F327" s="399"/>
      <c r="G327" s="10">
        <f t="shared" si="41"/>
        <v>5415.6500000000005</v>
      </c>
      <c r="H327" s="10">
        <f t="shared" si="41"/>
        <v>5142.4500000000007</v>
      </c>
    </row>
    <row r="328" spans="1:8" ht="15.75" x14ac:dyDescent="0.25">
      <c r="A328" s="31" t="s">
        <v>274</v>
      </c>
      <c r="B328" s="392" t="s">
        <v>1442</v>
      </c>
      <c r="C328" s="392" t="s">
        <v>264</v>
      </c>
      <c r="D328" s="392" t="s">
        <v>213</v>
      </c>
      <c r="E328" s="392" t="s">
        <v>275</v>
      </c>
      <c r="F328" s="399"/>
      <c r="G328" s="10">
        <f>'пр.6.1.ведом.22-23 (2)'!G672</f>
        <v>5415.6500000000005</v>
      </c>
      <c r="H328" s="10">
        <f>'пр.6.1.ведом.22-23 (2)'!H672</f>
        <v>5142.4500000000007</v>
      </c>
    </row>
    <row r="329" spans="1:8" ht="31.5" x14ac:dyDescent="0.25">
      <c r="A329" s="180" t="s">
        <v>403</v>
      </c>
      <c r="B329" s="392" t="s">
        <v>1442</v>
      </c>
      <c r="C329" s="392" t="s">
        <v>264</v>
      </c>
      <c r="D329" s="392" t="s">
        <v>213</v>
      </c>
      <c r="E329" s="392" t="s">
        <v>275</v>
      </c>
      <c r="F329" s="399" t="s">
        <v>636</v>
      </c>
      <c r="G329" s="10">
        <f>G323</f>
        <v>5415.6500000000005</v>
      </c>
      <c r="H329" s="10">
        <f>H323</f>
        <v>5142.4500000000007</v>
      </c>
    </row>
    <row r="330" spans="1:8" ht="63" hidden="1" x14ac:dyDescent="0.25">
      <c r="A330" s="201" t="s">
        <v>1170</v>
      </c>
      <c r="B330" s="395" t="s">
        <v>1318</v>
      </c>
      <c r="C330" s="399"/>
      <c r="D330" s="399"/>
      <c r="E330" s="399"/>
      <c r="F330" s="399"/>
      <c r="G330" s="59">
        <f t="shared" ref="G330:H334" si="42">G331</f>
        <v>0</v>
      </c>
      <c r="H330" s="59">
        <f t="shared" si="42"/>
        <v>0</v>
      </c>
    </row>
    <row r="331" spans="1:8" ht="15.75" hidden="1" x14ac:dyDescent="0.25">
      <c r="A331" s="29" t="s">
        <v>263</v>
      </c>
      <c r="B331" s="392" t="s">
        <v>1318</v>
      </c>
      <c r="C331" s="399" t="s">
        <v>264</v>
      </c>
      <c r="D331" s="399"/>
      <c r="E331" s="399"/>
      <c r="F331" s="399"/>
      <c r="G331" s="10">
        <f t="shared" si="42"/>
        <v>0</v>
      </c>
      <c r="H331" s="10">
        <f t="shared" si="42"/>
        <v>0</v>
      </c>
    </row>
    <row r="332" spans="1:8" ht="15.75" hidden="1" x14ac:dyDescent="0.25">
      <c r="A332" s="29" t="s">
        <v>425</v>
      </c>
      <c r="B332" s="392" t="s">
        <v>1318</v>
      </c>
      <c r="C332" s="399" t="s">
        <v>264</v>
      </c>
      <c r="D332" s="399" t="s">
        <v>213</v>
      </c>
      <c r="E332" s="399"/>
      <c r="F332" s="399"/>
      <c r="G332" s="10">
        <f t="shared" si="42"/>
        <v>0</v>
      </c>
      <c r="H332" s="10">
        <f t="shared" si="42"/>
        <v>0</v>
      </c>
    </row>
    <row r="333" spans="1:8" ht="63" hidden="1" x14ac:dyDescent="0.25">
      <c r="A333" s="180" t="s">
        <v>1178</v>
      </c>
      <c r="B333" s="392" t="s">
        <v>1319</v>
      </c>
      <c r="C333" s="399" t="s">
        <v>264</v>
      </c>
      <c r="D333" s="399" t="s">
        <v>213</v>
      </c>
      <c r="E333" s="399"/>
      <c r="F333" s="399"/>
      <c r="G333" s="10">
        <f t="shared" si="42"/>
        <v>0</v>
      </c>
      <c r="H333" s="10">
        <f t="shared" si="42"/>
        <v>0</v>
      </c>
    </row>
    <row r="334" spans="1:8" ht="47.25" hidden="1" x14ac:dyDescent="0.25">
      <c r="A334" s="31" t="s">
        <v>272</v>
      </c>
      <c r="B334" s="392" t="s">
        <v>1319</v>
      </c>
      <c r="C334" s="399" t="s">
        <v>264</v>
      </c>
      <c r="D334" s="399" t="s">
        <v>213</v>
      </c>
      <c r="E334" s="399" t="s">
        <v>273</v>
      </c>
      <c r="F334" s="399"/>
      <c r="G334" s="10">
        <f t="shared" si="42"/>
        <v>0</v>
      </c>
      <c r="H334" s="10">
        <f t="shared" si="42"/>
        <v>0</v>
      </c>
    </row>
    <row r="335" spans="1:8" ht="15.75" hidden="1" x14ac:dyDescent="0.25">
      <c r="A335" s="31" t="s">
        <v>274</v>
      </c>
      <c r="B335" s="392" t="s">
        <v>1319</v>
      </c>
      <c r="C335" s="399" t="s">
        <v>264</v>
      </c>
      <c r="D335" s="399" t="s">
        <v>213</v>
      </c>
      <c r="E335" s="399" t="s">
        <v>275</v>
      </c>
      <c r="F335" s="399"/>
      <c r="G335" s="10">
        <f>'пр.6.1.ведом.22-23 (2)'!G676</f>
        <v>0</v>
      </c>
      <c r="H335" s="10">
        <f>'пр.6.1.ведом.22-23 (2)'!H675</f>
        <v>0</v>
      </c>
    </row>
    <row r="336" spans="1:8" ht="31.5" hidden="1" x14ac:dyDescent="0.25">
      <c r="A336" s="29" t="s">
        <v>403</v>
      </c>
      <c r="B336" s="392" t="s">
        <v>1319</v>
      </c>
      <c r="C336" s="399" t="s">
        <v>264</v>
      </c>
      <c r="D336" s="399" t="s">
        <v>213</v>
      </c>
      <c r="E336" s="399" t="s">
        <v>275</v>
      </c>
      <c r="F336" s="399" t="s">
        <v>636</v>
      </c>
      <c r="G336" s="10">
        <f>G330</f>
        <v>0</v>
      </c>
      <c r="H336" s="10">
        <f>H335</f>
        <v>0</v>
      </c>
    </row>
    <row r="337" spans="1:8" ht="31.5" x14ac:dyDescent="0.25">
      <c r="A337" s="34" t="s">
        <v>1457</v>
      </c>
      <c r="B337" s="395" t="s">
        <v>1455</v>
      </c>
      <c r="C337" s="399"/>
      <c r="D337" s="399"/>
      <c r="E337" s="399"/>
      <c r="F337" s="399"/>
      <c r="G337" s="59">
        <f t="shared" ref="G337:H341" si="43">G338</f>
        <v>1749.4499999999998</v>
      </c>
      <c r="H337" s="59">
        <f t="shared" si="43"/>
        <v>2341</v>
      </c>
    </row>
    <row r="338" spans="1:8" ht="15.75" x14ac:dyDescent="0.25">
      <c r="A338" s="29" t="s">
        <v>263</v>
      </c>
      <c r="B338" s="392" t="s">
        <v>1455</v>
      </c>
      <c r="C338" s="399" t="s">
        <v>264</v>
      </c>
      <c r="D338" s="399"/>
      <c r="E338" s="399"/>
      <c r="F338" s="399"/>
      <c r="G338" s="10">
        <f t="shared" si="43"/>
        <v>1749.4499999999998</v>
      </c>
      <c r="H338" s="10">
        <f t="shared" si="43"/>
        <v>2341</v>
      </c>
    </row>
    <row r="339" spans="1:8" ht="15.75" x14ac:dyDescent="0.25">
      <c r="A339" s="29" t="s">
        <v>425</v>
      </c>
      <c r="B339" s="392" t="s">
        <v>1455</v>
      </c>
      <c r="C339" s="399" t="s">
        <v>264</v>
      </c>
      <c r="D339" s="399" t="s">
        <v>213</v>
      </c>
      <c r="E339" s="399"/>
      <c r="F339" s="399"/>
      <c r="G339" s="10">
        <f t="shared" si="43"/>
        <v>1749.4499999999998</v>
      </c>
      <c r="H339" s="10">
        <f t="shared" si="43"/>
        <v>2341</v>
      </c>
    </row>
    <row r="340" spans="1:8" ht="63" x14ac:dyDescent="0.25">
      <c r="A340" s="31" t="s">
        <v>1504</v>
      </c>
      <c r="B340" s="392" t="s">
        <v>1456</v>
      </c>
      <c r="C340" s="399" t="s">
        <v>264</v>
      </c>
      <c r="D340" s="399" t="s">
        <v>213</v>
      </c>
      <c r="E340" s="399"/>
      <c r="F340" s="399"/>
      <c r="G340" s="10">
        <f t="shared" si="43"/>
        <v>1749.4499999999998</v>
      </c>
      <c r="H340" s="10">
        <f t="shared" si="43"/>
        <v>2341</v>
      </c>
    </row>
    <row r="341" spans="1:8" ht="47.25" x14ac:dyDescent="0.25">
      <c r="A341" s="31" t="s">
        <v>272</v>
      </c>
      <c r="B341" s="392" t="s">
        <v>1456</v>
      </c>
      <c r="C341" s="399" t="s">
        <v>264</v>
      </c>
      <c r="D341" s="399" t="s">
        <v>213</v>
      </c>
      <c r="E341" s="399" t="s">
        <v>273</v>
      </c>
      <c r="F341" s="399"/>
      <c r="G341" s="10">
        <f t="shared" si="43"/>
        <v>1749.4499999999998</v>
      </c>
      <c r="H341" s="10">
        <f t="shared" si="43"/>
        <v>2341</v>
      </c>
    </row>
    <row r="342" spans="1:8" ht="15.75" x14ac:dyDescent="0.25">
      <c r="A342" s="31" t="s">
        <v>274</v>
      </c>
      <c r="B342" s="392" t="s">
        <v>1456</v>
      </c>
      <c r="C342" s="399" t="s">
        <v>264</v>
      </c>
      <c r="D342" s="399" t="s">
        <v>213</v>
      </c>
      <c r="E342" s="399" t="s">
        <v>275</v>
      </c>
      <c r="F342" s="399"/>
      <c r="G342" s="10">
        <f>'пр.6.1.ведом.22-23 (2)'!G680</f>
        <v>1749.4499999999998</v>
      </c>
      <c r="H342" s="10">
        <f>'пр.6.1.ведом.22-23 (2)'!H680</f>
        <v>2341</v>
      </c>
    </row>
    <row r="343" spans="1:8" ht="31.5" x14ac:dyDescent="0.25">
      <c r="A343" s="29" t="s">
        <v>403</v>
      </c>
      <c r="B343" s="392" t="s">
        <v>1456</v>
      </c>
      <c r="C343" s="399" t="s">
        <v>264</v>
      </c>
      <c r="D343" s="399" t="s">
        <v>213</v>
      </c>
      <c r="E343" s="399" t="s">
        <v>275</v>
      </c>
      <c r="F343" s="399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1383</v>
      </c>
      <c r="B344" s="187" t="s">
        <v>156</v>
      </c>
      <c r="C344" s="7"/>
      <c r="D344" s="187"/>
      <c r="E344" s="187"/>
      <c r="F344" s="187"/>
      <c r="G344" s="59">
        <f>G346</f>
        <v>150</v>
      </c>
      <c r="H344" s="59">
        <f>H346</f>
        <v>150</v>
      </c>
    </row>
    <row r="345" spans="1:8" ht="47.25" x14ac:dyDescent="0.25">
      <c r="A345" s="394" t="s">
        <v>1065</v>
      </c>
      <c r="B345" s="395" t="s">
        <v>1062</v>
      </c>
      <c r="C345" s="7"/>
      <c r="D345" s="7"/>
      <c r="E345" s="7"/>
      <c r="F345" s="7"/>
      <c r="G345" s="59">
        <f t="shared" ref="G345:H349" si="44">G346</f>
        <v>150</v>
      </c>
      <c r="H345" s="59">
        <f t="shared" si="44"/>
        <v>150</v>
      </c>
    </row>
    <row r="346" spans="1:8" ht="15.75" x14ac:dyDescent="0.25">
      <c r="A346" s="45" t="s">
        <v>232</v>
      </c>
      <c r="B346" s="5" t="s">
        <v>1062</v>
      </c>
      <c r="C346" s="399" t="s">
        <v>150</v>
      </c>
      <c r="D346" s="399"/>
      <c r="E346" s="399"/>
      <c r="F346" s="399"/>
      <c r="G346" s="10">
        <f t="shared" si="44"/>
        <v>150</v>
      </c>
      <c r="H346" s="10">
        <f t="shared" si="44"/>
        <v>150</v>
      </c>
    </row>
    <row r="347" spans="1:8" ht="15.75" x14ac:dyDescent="0.25">
      <c r="A347" s="45" t="s">
        <v>775</v>
      </c>
      <c r="B347" s="5" t="s">
        <v>1062</v>
      </c>
      <c r="C347" s="399" t="s">
        <v>150</v>
      </c>
      <c r="D347" s="399" t="s">
        <v>238</v>
      </c>
      <c r="E347" s="399"/>
      <c r="F347" s="399"/>
      <c r="G347" s="10">
        <f t="shared" si="44"/>
        <v>150</v>
      </c>
      <c r="H347" s="10">
        <f t="shared" si="44"/>
        <v>150</v>
      </c>
    </row>
    <row r="348" spans="1:8" ht="31.5" x14ac:dyDescent="0.25">
      <c r="A348" s="396" t="s">
        <v>1066</v>
      </c>
      <c r="B348" s="392" t="s">
        <v>1063</v>
      </c>
      <c r="C348" s="399" t="s">
        <v>150</v>
      </c>
      <c r="D348" s="399" t="s">
        <v>238</v>
      </c>
      <c r="E348" s="399"/>
      <c r="F348" s="399"/>
      <c r="G348" s="10">
        <f t="shared" si="44"/>
        <v>150</v>
      </c>
      <c r="H348" s="10">
        <f t="shared" si="44"/>
        <v>150</v>
      </c>
    </row>
    <row r="349" spans="1:8" ht="15.75" x14ac:dyDescent="0.25">
      <c r="A349" s="396" t="s">
        <v>135</v>
      </c>
      <c r="B349" s="392" t="s">
        <v>1063</v>
      </c>
      <c r="C349" s="399" t="s">
        <v>150</v>
      </c>
      <c r="D349" s="399" t="s">
        <v>238</v>
      </c>
      <c r="E349" s="399" t="s">
        <v>132</v>
      </c>
      <c r="F349" s="399"/>
      <c r="G349" s="10">
        <f t="shared" si="44"/>
        <v>150</v>
      </c>
      <c r="H349" s="10">
        <f t="shared" si="44"/>
        <v>150</v>
      </c>
    </row>
    <row r="350" spans="1:8" ht="63" x14ac:dyDescent="0.25">
      <c r="A350" s="396" t="s">
        <v>184</v>
      </c>
      <c r="B350" s="392" t="s">
        <v>1063</v>
      </c>
      <c r="C350" s="399" t="s">
        <v>150</v>
      </c>
      <c r="D350" s="399" t="s">
        <v>238</v>
      </c>
      <c r="E350" s="399" t="s">
        <v>134</v>
      </c>
      <c r="F350" s="399"/>
      <c r="G350" s="10">
        <f>'пр.6.1.ведом.22-23 (2)'!G217</f>
        <v>150</v>
      </c>
      <c r="H350" s="10">
        <f>'пр.6.1.ведом.22-23 (2)'!H217</f>
        <v>150</v>
      </c>
    </row>
    <row r="351" spans="1:8" ht="31.5" x14ac:dyDescent="0.25">
      <c r="A351" s="29" t="s">
        <v>148</v>
      </c>
      <c r="B351" s="392" t="s">
        <v>1063</v>
      </c>
      <c r="C351" s="399" t="s">
        <v>150</v>
      </c>
      <c r="D351" s="399" t="s">
        <v>238</v>
      </c>
      <c r="E351" s="399" t="s">
        <v>134</v>
      </c>
      <c r="F351" s="399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396" t="s">
        <v>239</v>
      </c>
      <c r="B352" s="392" t="s">
        <v>1064</v>
      </c>
      <c r="C352" s="399" t="s">
        <v>150</v>
      </c>
      <c r="D352" s="399" t="s">
        <v>238</v>
      </c>
      <c r="E352" s="399"/>
      <c r="F352" s="399"/>
      <c r="G352" s="10" t="e">
        <f>G353</f>
        <v>#REF!</v>
      </c>
      <c r="H352" s="10" t="e">
        <f>H353</f>
        <v>#REF!</v>
      </c>
    </row>
    <row r="353" spans="1:8" ht="15.75" hidden="1" x14ac:dyDescent="0.25">
      <c r="A353" s="396" t="s">
        <v>135</v>
      </c>
      <c r="B353" s="392" t="s">
        <v>1064</v>
      </c>
      <c r="C353" s="399" t="s">
        <v>150</v>
      </c>
      <c r="D353" s="399" t="s">
        <v>238</v>
      </c>
      <c r="E353" s="399" t="s">
        <v>145</v>
      </c>
      <c r="F353" s="399"/>
      <c r="G353" s="10" t="e">
        <f>G354</f>
        <v>#REF!</v>
      </c>
      <c r="H353" s="10" t="e">
        <f>H354</f>
        <v>#REF!</v>
      </c>
    </row>
    <row r="354" spans="1:8" ht="63" hidden="1" x14ac:dyDescent="0.25">
      <c r="A354" s="396" t="s">
        <v>184</v>
      </c>
      <c r="B354" s="392" t="s">
        <v>1064</v>
      </c>
      <c r="C354" s="399" t="s">
        <v>150</v>
      </c>
      <c r="D354" s="399" t="s">
        <v>238</v>
      </c>
      <c r="E354" s="399" t="s">
        <v>160</v>
      </c>
      <c r="F354" s="399"/>
      <c r="G354" s="10" t="e">
        <f>'пр.6.1.ведом.22-23 (2)'!#REF!</f>
        <v>#REF!</v>
      </c>
      <c r="H354" s="10" t="e">
        <f>'пр.6.1.ведом.22-23 (2)'!#REF!</f>
        <v>#REF!</v>
      </c>
    </row>
    <row r="355" spans="1:8" ht="31.5" hidden="1" x14ac:dyDescent="0.25">
      <c r="A355" s="29" t="s">
        <v>148</v>
      </c>
      <c r="B355" s="392" t="s">
        <v>1064</v>
      </c>
      <c r="C355" s="399" t="s">
        <v>150</v>
      </c>
      <c r="D355" s="399" t="s">
        <v>238</v>
      </c>
      <c r="E355" s="399" t="s">
        <v>160</v>
      </c>
      <c r="F355" s="399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00" t="s">
        <v>1363</v>
      </c>
      <c r="B356" s="187" t="s">
        <v>162</v>
      </c>
      <c r="C356" s="7"/>
      <c r="D356" s="7"/>
      <c r="E356" s="7"/>
      <c r="F356" s="7"/>
      <c r="G356" s="59">
        <f>G357+G364+G387</f>
        <v>724</v>
      </c>
      <c r="H356" s="59">
        <f>H357+H364+H387</f>
        <v>724</v>
      </c>
    </row>
    <row r="357" spans="1:8" ht="78.75" x14ac:dyDescent="0.25">
      <c r="A357" s="269" t="s">
        <v>1338</v>
      </c>
      <c r="B357" s="7" t="s">
        <v>848</v>
      </c>
      <c r="C357" s="7"/>
      <c r="D357" s="8"/>
      <c r="E357" s="187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848</v>
      </c>
      <c r="C358" s="399" t="s">
        <v>118</v>
      </c>
      <c r="D358" s="5"/>
      <c r="E358" s="5"/>
      <c r="F358" s="399"/>
      <c r="G358" s="10">
        <f t="shared" ref="G358:H358" si="45">G359</f>
        <v>606</v>
      </c>
      <c r="H358" s="10">
        <f t="shared" si="45"/>
        <v>606</v>
      </c>
    </row>
    <row r="359" spans="1:8" ht="78.75" x14ac:dyDescent="0.25">
      <c r="A359" s="29" t="s">
        <v>149</v>
      </c>
      <c r="B359" s="5" t="s">
        <v>848</v>
      </c>
      <c r="C359" s="399" t="s">
        <v>118</v>
      </c>
      <c r="D359" s="9" t="s">
        <v>150</v>
      </c>
      <c r="E359" s="5"/>
      <c r="F359" s="399"/>
      <c r="G359" s="10">
        <f>G360</f>
        <v>606</v>
      </c>
      <c r="H359" s="10">
        <f>H360</f>
        <v>606</v>
      </c>
    </row>
    <row r="360" spans="1:8" ht="63" x14ac:dyDescent="0.25">
      <c r="A360" s="29" t="s">
        <v>1306</v>
      </c>
      <c r="B360" s="399" t="s">
        <v>840</v>
      </c>
      <c r="C360" s="399" t="s">
        <v>118</v>
      </c>
      <c r="D360" s="9" t="s">
        <v>150</v>
      </c>
      <c r="E360" s="399"/>
      <c r="F360" s="399"/>
      <c r="G360" s="10">
        <f t="shared" ref="G360:H361" si="46">G361</f>
        <v>606</v>
      </c>
      <c r="H360" s="10">
        <f t="shared" si="46"/>
        <v>606</v>
      </c>
    </row>
    <row r="361" spans="1:8" ht="31.5" x14ac:dyDescent="0.25">
      <c r="A361" s="29" t="s">
        <v>131</v>
      </c>
      <c r="B361" s="399" t="s">
        <v>840</v>
      </c>
      <c r="C361" s="399" t="s">
        <v>118</v>
      </c>
      <c r="D361" s="9" t="s">
        <v>150</v>
      </c>
      <c r="E361" s="399" t="s">
        <v>132</v>
      </c>
      <c r="F361" s="399"/>
      <c r="G361" s="10">
        <f t="shared" si="46"/>
        <v>606</v>
      </c>
      <c r="H361" s="10">
        <f t="shared" si="46"/>
        <v>606</v>
      </c>
    </row>
    <row r="362" spans="1:8" ht="47.25" x14ac:dyDescent="0.25">
      <c r="A362" s="29" t="s">
        <v>133</v>
      </c>
      <c r="B362" s="399" t="s">
        <v>840</v>
      </c>
      <c r="C362" s="399" t="s">
        <v>118</v>
      </c>
      <c r="D362" s="9" t="s">
        <v>150</v>
      </c>
      <c r="E362" s="399" t="s">
        <v>134</v>
      </c>
      <c r="F362" s="399"/>
      <c r="G362" s="10">
        <f>'пр.6.1.ведом.22-23 (2)'!G93</f>
        <v>606</v>
      </c>
      <c r="H362" s="10">
        <f>'пр.6.1.ведом.22-23 (2)'!H93</f>
        <v>606</v>
      </c>
    </row>
    <row r="363" spans="1:8" ht="31.5" x14ac:dyDescent="0.25">
      <c r="A363" s="29" t="s">
        <v>148</v>
      </c>
      <c r="B363" s="399" t="s">
        <v>840</v>
      </c>
      <c r="C363" s="399" t="s">
        <v>118</v>
      </c>
      <c r="D363" s="9" t="s">
        <v>150</v>
      </c>
      <c r="E363" s="399" t="s">
        <v>134</v>
      </c>
      <c r="F363" s="399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04" t="s">
        <v>842</v>
      </c>
      <c r="B364" s="7" t="s">
        <v>849</v>
      </c>
      <c r="C364" s="7"/>
      <c r="D364" s="8"/>
      <c r="E364" s="187"/>
      <c r="F364" s="7"/>
      <c r="G364" s="59">
        <f>G365</f>
        <v>117.5</v>
      </c>
      <c r="H364" s="59">
        <f>H365</f>
        <v>117.5</v>
      </c>
    </row>
    <row r="365" spans="1:8" ht="15.75" x14ac:dyDescent="0.25">
      <c r="A365" s="45" t="s">
        <v>117</v>
      </c>
      <c r="B365" s="5" t="s">
        <v>849</v>
      </c>
      <c r="C365" s="399" t="s">
        <v>118</v>
      </c>
      <c r="D365" s="5"/>
      <c r="E365" s="5"/>
      <c r="F365" s="399"/>
      <c r="G365" s="10">
        <f>G371+G366</f>
        <v>117.5</v>
      </c>
      <c r="H365" s="10">
        <f>H371+H366</f>
        <v>117.5</v>
      </c>
    </row>
    <row r="366" spans="1:8" ht="47.25" x14ac:dyDescent="0.25">
      <c r="A366" s="396" t="s">
        <v>575</v>
      </c>
      <c r="B366" s="5" t="s">
        <v>849</v>
      </c>
      <c r="C366" s="399" t="s">
        <v>118</v>
      </c>
      <c r="D366" s="9" t="s">
        <v>213</v>
      </c>
      <c r="E366" s="5"/>
      <c r="F366" s="399"/>
      <c r="G366" s="10">
        <f t="shared" ref="G366:H368" si="47">G367</f>
        <v>40.5</v>
      </c>
      <c r="H366" s="10">
        <f t="shared" si="47"/>
        <v>40.5</v>
      </c>
    </row>
    <row r="367" spans="1:8" ht="63" x14ac:dyDescent="0.25">
      <c r="A367" s="31" t="s">
        <v>695</v>
      </c>
      <c r="B367" s="399" t="s">
        <v>992</v>
      </c>
      <c r="C367" s="392" t="s">
        <v>118</v>
      </c>
      <c r="D367" s="9" t="s">
        <v>213</v>
      </c>
      <c r="E367" s="5"/>
      <c r="F367" s="399"/>
      <c r="G367" s="10">
        <f t="shared" si="47"/>
        <v>40.5</v>
      </c>
      <c r="H367" s="10">
        <f t="shared" si="47"/>
        <v>40.5</v>
      </c>
    </row>
    <row r="368" spans="1:8" ht="31.5" x14ac:dyDescent="0.25">
      <c r="A368" s="396" t="s">
        <v>131</v>
      </c>
      <c r="B368" s="399" t="s">
        <v>696</v>
      </c>
      <c r="C368" s="392" t="s">
        <v>118</v>
      </c>
      <c r="D368" s="9" t="s">
        <v>213</v>
      </c>
      <c r="E368" s="5">
        <v>200</v>
      </c>
      <c r="F368" s="399"/>
      <c r="G368" s="10">
        <f t="shared" si="47"/>
        <v>40.5</v>
      </c>
      <c r="H368" s="10">
        <f t="shared" si="47"/>
        <v>40.5</v>
      </c>
    </row>
    <row r="369" spans="1:8" ht="47.25" x14ac:dyDescent="0.25">
      <c r="A369" s="396" t="s">
        <v>133</v>
      </c>
      <c r="B369" s="399" t="s">
        <v>696</v>
      </c>
      <c r="C369" s="392" t="s">
        <v>118</v>
      </c>
      <c r="D369" s="9" t="s">
        <v>213</v>
      </c>
      <c r="E369" s="5">
        <v>240</v>
      </c>
      <c r="F369" s="399"/>
      <c r="G369" s="10">
        <f>'[1]Пр.5 ведом.21'!G47</f>
        <v>40.5</v>
      </c>
      <c r="H369" s="10">
        <f>H370</f>
        <v>40.5</v>
      </c>
    </row>
    <row r="370" spans="1:8" ht="31.5" x14ac:dyDescent="0.25">
      <c r="A370" s="396" t="s">
        <v>148</v>
      </c>
      <c r="B370" s="399" t="s">
        <v>696</v>
      </c>
      <c r="C370" s="392" t="s">
        <v>118</v>
      </c>
      <c r="D370" s="9" t="s">
        <v>213</v>
      </c>
      <c r="E370" s="5">
        <v>240</v>
      </c>
      <c r="F370" s="399" t="s">
        <v>641</v>
      </c>
      <c r="G370" s="10">
        <f>G367</f>
        <v>40.5</v>
      </c>
      <c r="H370" s="10">
        <f>'пр.6.1.ведом.22-23 (2)'!H48</f>
        <v>40.5</v>
      </c>
    </row>
    <row r="371" spans="1:8" ht="78.75" x14ac:dyDescent="0.25">
      <c r="A371" s="29" t="s">
        <v>149</v>
      </c>
      <c r="B371" s="5" t="s">
        <v>849</v>
      </c>
      <c r="C371" s="399" t="s">
        <v>118</v>
      </c>
      <c r="D371" s="9" t="s">
        <v>150</v>
      </c>
      <c r="E371" s="5"/>
      <c r="F371" s="399"/>
      <c r="G371" s="10">
        <f>G372+G379+G383</f>
        <v>77</v>
      </c>
      <c r="H371" s="10">
        <f>H372+H379+H383</f>
        <v>77</v>
      </c>
    </row>
    <row r="372" spans="1:8" ht="63" x14ac:dyDescent="0.25">
      <c r="A372" s="172" t="s">
        <v>165</v>
      </c>
      <c r="B372" s="399" t="s">
        <v>841</v>
      </c>
      <c r="C372" s="399" t="s">
        <v>118</v>
      </c>
      <c r="D372" s="9" t="s">
        <v>150</v>
      </c>
      <c r="E372" s="399"/>
      <c r="F372" s="399"/>
      <c r="G372" s="10">
        <f>G373+G376</f>
        <v>77</v>
      </c>
      <c r="H372" s="10">
        <f>H373+H376</f>
        <v>77</v>
      </c>
    </row>
    <row r="373" spans="1:8" ht="94.5" x14ac:dyDescent="0.25">
      <c r="A373" s="396" t="s">
        <v>127</v>
      </c>
      <c r="B373" s="399" t="s">
        <v>841</v>
      </c>
      <c r="C373" s="399" t="s">
        <v>118</v>
      </c>
      <c r="D373" s="9" t="s">
        <v>150</v>
      </c>
      <c r="E373" s="399" t="s">
        <v>128</v>
      </c>
      <c r="F373" s="399"/>
      <c r="G373" s="10">
        <f>G374</f>
        <v>37</v>
      </c>
      <c r="H373" s="10">
        <f>H374</f>
        <v>37</v>
      </c>
    </row>
    <row r="374" spans="1:8" ht="31.5" x14ac:dyDescent="0.25">
      <c r="A374" s="396" t="s">
        <v>129</v>
      </c>
      <c r="B374" s="399" t="s">
        <v>841</v>
      </c>
      <c r="C374" s="399" t="s">
        <v>118</v>
      </c>
      <c r="D374" s="9" t="s">
        <v>150</v>
      </c>
      <c r="E374" s="399" t="s">
        <v>130</v>
      </c>
      <c r="F374" s="399"/>
      <c r="G374" s="10">
        <f>'пр.6.1.ведом.22-23 (2)'!G97</f>
        <v>37</v>
      </c>
      <c r="H374" s="10">
        <f>'пр.6.1.ведом.22-23 (2)'!H97</f>
        <v>37</v>
      </c>
    </row>
    <row r="375" spans="1:8" ht="31.5" x14ac:dyDescent="0.25">
      <c r="A375" s="29" t="s">
        <v>1320</v>
      </c>
      <c r="B375" s="399" t="s">
        <v>841</v>
      </c>
      <c r="C375" s="399" t="s">
        <v>118</v>
      </c>
      <c r="D375" s="9" t="s">
        <v>150</v>
      </c>
      <c r="E375" s="399" t="s">
        <v>130</v>
      </c>
      <c r="F375" s="399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396" t="s">
        <v>131</v>
      </c>
      <c r="B376" s="399" t="s">
        <v>841</v>
      </c>
      <c r="C376" s="399" t="s">
        <v>118</v>
      </c>
      <c r="D376" s="9" t="s">
        <v>150</v>
      </c>
      <c r="E376" s="399" t="s">
        <v>132</v>
      </c>
      <c r="F376" s="399"/>
      <c r="G376" s="10">
        <f>G377</f>
        <v>40</v>
      </c>
      <c r="H376" s="10">
        <f>H377</f>
        <v>40</v>
      </c>
    </row>
    <row r="377" spans="1:8" ht="47.25" x14ac:dyDescent="0.25">
      <c r="A377" s="396" t="s">
        <v>133</v>
      </c>
      <c r="B377" s="399" t="s">
        <v>841</v>
      </c>
      <c r="C377" s="399" t="s">
        <v>118</v>
      </c>
      <c r="D377" s="9" t="s">
        <v>150</v>
      </c>
      <c r="E377" s="399" t="s">
        <v>134</v>
      </c>
      <c r="F377" s="399"/>
      <c r="G377" s="10">
        <f>'пр.6.1.ведом.22-23 (2)'!G99</f>
        <v>40</v>
      </c>
      <c r="H377" s="10">
        <f>'пр.6.1.ведом.22-23 (2)'!H99</f>
        <v>40</v>
      </c>
    </row>
    <row r="378" spans="1:8" ht="31.5" x14ac:dyDescent="0.25">
      <c r="A378" s="29" t="s">
        <v>148</v>
      </c>
      <c r="B378" s="399" t="s">
        <v>841</v>
      </c>
      <c r="C378" s="399" t="s">
        <v>118</v>
      </c>
      <c r="D378" s="9" t="s">
        <v>150</v>
      </c>
      <c r="E378" s="399" t="s">
        <v>134</v>
      </c>
      <c r="F378" s="399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399" t="s">
        <v>992</v>
      </c>
      <c r="C379" s="399" t="s">
        <v>118</v>
      </c>
      <c r="D379" s="9" t="s">
        <v>150</v>
      </c>
      <c r="E379" s="5"/>
      <c r="F379" s="399"/>
      <c r="G379" s="10">
        <f>G380</f>
        <v>0</v>
      </c>
      <c r="H379" s="10">
        <f>H380</f>
        <v>0</v>
      </c>
    </row>
    <row r="380" spans="1:8" ht="31.5" hidden="1" x14ac:dyDescent="0.25">
      <c r="A380" s="396" t="s">
        <v>131</v>
      </c>
      <c r="B380" s="399" t="s">
        <v>992</v>
      </c>
      <c r="C380" s="399" t="s">
        <v>118</v>
      </c>
      <c r="D380" s="9" t="s">
        <v>150</v>
      </c>
      <c r="E380" s="5">
        <v>200</v>
      </c>
      <c r="F380" s="399"/>
      <c r="G380" s="10">
        <f>G381</f>
        <v>0</v>
      </c>
      <c r="H380" s="10">
        <f>H381</f>
        <v>0</v>
      </c>
    </row>
    <row r="381" spans="1:8" ht="47.25" hidden="1" x14ac:dyDescent="0.25">
      <c r="A381" s="396" t="s">
        <v>133</v>
      </c>
      <c r="B381" s="399" t="s">
        <v>992</v>
      </c>
      <c r="C381" s="399" t="s">
        <v>118</v>
      </c>
      <c r="D381" s="9" t="s">
        <v>150</v>
      </c>
      <c r="E381" s="5">
        <v>240</v>
      </c>
      <c r="F381" s="399"/>
      <c r="G381" s="10">
        <f>'[1]Пр.5 ведом.21'!G99</f>
        <v>0</v>
      </c>
      <c r="H381" s="10">
        <f>'пр.6.1.ведом.22-23 (2)'!H102</f>
        <v>0</v>
      </c>
    </row>
    <row r="382" spans="1:8" ht="31.5" hidden="1" x14ac:dyDescent="0.25">
      <c r="A382" s="29" t="s">
        <v>148</v>
      </c>
      <c r="B382" s="399" t="s">
        <v>992</v>
      </c>
      <c r="C382" s="399" t="s">
        <v>118</v>
      </c>
      <c r="D382" s="9" t="s">
        <v>150</v>
      </c>
      <c r="E382" s="5">
        <v>240</v>
      </c>
      <c r="F382" s="399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392" t="s">
        <v>991</v>
      </c>
      <c r="C383" s="399" t="s">
        <v>118</v>
      </c>
      <c r="D383" s="9" t="s">
        <v>150</v>
      </c>
      <c r="E383" s="5"/>
      <c r="F383" s="399"/>
      <c r="G383" s="10">
        <f>G384</f>
        <v>0</v>
      </c>
      <c r="H383" s="10">
        <f>H384</f>
        <v>0</v>
      </c>
    </row>
    <row r="384" spans="1:8" ht="31.5" hidden="1" x14ac:dyDescent="0.25">
      <c r="A384" s="396" t="s">
        <v>131</v>
      </c>
      <c r="B384" s="392" t="s">
        <v>991</v>
      </c>
      <c r="C384" s="399" t="s">
        <v>118</v>
      </c>
      <c r="D384" s="9" t="s">
        <v>150</v>
      </c>
      <c r="E384" s="5">
        <v>200</v>
      </c>
      <c r="F384" s="399"/>
      <c r="G384" s="10">
        <f>G385</f>
        <v>0</v>
      </c>
      <c r="H384" s="10">
        <f>H385</f>
        <v>0</v>
      </c>
    </row>
    <row r="385" spans="1:8" ht="47.25" hidden="1" x14ac:dyDescent="0.25">
      <c r="A385" s="396" t="s">
        <v>133</v>
      </c>
      <c r="B385" s="392" t="s">
        <v>991</v>
      </c>
      <c r="C385" s="399" t="s">
        <v>118</v>
      </c>
      <c r="D385" s="9" t="s">
        <v>150</v>
      </c>
      <c r="E385" s="5">
        <v>240</v>
      </c>
      <c r="F385" s="399"/>
      <c r="G385" s="10">
        <f>'пр.6.1.ведом.22-23 (2)'!G105</f>
        <v>0</v>
      </c>
      <c r="H385" s="10">
        <f>'пр.6.1.ведом.22-23 (2)'!H105</f>
        <v>0</v>
      </c>
    </row>
    <row r="386" spans="1:8" ht="31.5" hidden="1" x14ac:dyDescent="0.25">
      <c r="A386" s="29" t="s">
        <v>148</v>
      </c>
      <c r="B386" s="392" t="s">
        <v>991</v>
      </c>
      <c r="C386" s="399" t="s">
        <v>118</v>
      </c>
      <c r="D386" s="9" t="s">
        <v>150</v>
      </c>
      <c r="E386" s="5">
        <v>240</v>
      </c>
      <c r="F386" s="399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05" t="s">
        <v>1002</v>
      </c>
      <c r="B387" s="7" t="s">
        <v>850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ht="15.75" x14ac:dyDescent="0.25">
      <c r="A388" s="45" t="s">
        <v>117</v>
      </c>
      <c r="B388" s="399" t="s">
        <v>850</v>
      </c>
      <c r="C388" s="399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ht="78.75" x14ac:dyDescent="0.25">
      <c r="A389" s="29" t="s">
        <v>149</v>
      </c>
      <c r="B389" s="399" t="s">
        <v>850</v>
      </c>
      <c r="C389" s="399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399" t="s">
        <v>843</v>
      </c>
      <c r="C390" s="399" t="s">
        <v>118</v>
      </c>
      <c r="D390" s="9" t="s">
        <v>150</v>
      </c>
      <c r="E390" s="399"/>
      <c r="F390" s="399"/>
      <c r="G390" s="10">
        <f>G391</f>
        <v>0.5</v>
      </c>
      <c r="H390" s="10">
        <f>H391</f>
        <v>0.5</v>
      </c>
    </row>
    <row r="391" spans="1:8" ht="31.5" x14ac:dyDescent="0.25">
      <c r="A391" s="396" t="s">
        <v>131</v>
      </c>
      <c r="B391" s="399" t="s">
        <v>843</v>
      </c>
      <c r="C391" s="399" t="s">
        <v>118</v>
      </c>
      <c r="D391" s="9" t="s">
        <v>150</v>
      </c>
      <c r="E391" s="399" t="s">
        <v>132</v>
      </c>
      <c r="F391" s="399"/>
      <c r="G391" s="10">
        <f>G392</f>
        <v>0.5</v>
      </c>
      <c r="H391" s="10">
        <f>H392</f>
        <v>0.5</v>
      </c>
    </row>
    <row r="392" spans="1:8" ht="47.25" x14ac:dyDescent="0.25">
      <c r="A392" s="396" t="s">
        <v>133</v>
      </c>
      <c r="B392" s="399" t="s">
        <v>843</v>
      </c>
      <c r="C392" s="399" t="s">
        <v>118</v>
      </c>
      <c r="D392" s="9" t="s">
        <v>150</v>
      </c>
      <c r="E392" s="399" t="s">
        <v>134</v>
      </c>
      <c r="F392" s="399"/>
      <c r="G392" s="10">
        <f>'пр.6.1.ведом.22-23 (2)'!G109</f>
        <v>0.5</v>
      </c>
      <c r="H392" s="10">
        <f>'пр.6.1.ведом.22-23 (2)'!H109</f>
        <v>0.5</v>
      </c>
    </row>
    <row r="393" spans="1:8" ht="31.5" x14ac:dyDescent="0.25">
      <c r="A393" s="29" t="s">
        <v>148</v>
      </c>
      <c r="B393" s="399" t="s">
        <v>843</v>
      </c>
      <c r="C393" s="399" t="s">
        <v>118</v>
      </c>
      <c r="D393" s="9" t="s">
        <v>150</v>
      </c>
      <c r="E393" s="399" t="s">
        <v>134</v>
      </c>
      <c r="F393" s="399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392" t="s">
        <v>844</v>
      </c>
      <c r="C394" s="399" t="s">
        <v>118</v>
      </c>
      <c r="D394" s="9" t="s">
        <v>150</v>
      </c>
      <c r="E394" s="399"/>
      <c r="F394" s="399"/>
      <c r="G394" s="10">
        <f>G395</f>
        <v>0</v>
      </c>
      <c r="H394" s="10">
        <f>H395</f>
        <v>0</v>
      </c>
    </row>
    <row r="395" spans="1:8" ht="31.5" hidden="1" x14ac:dyDescent="0.25">
      <c r="A395" s="396" t="s">
        <v>131</v>
      </c>
      <c r="B395" s="392" t="s">
        <v>844</v>
      </c>
      <c r="C395" s="399" t="s">
        <v>118</v>
      </c>
      <c r="D395" s="9" t="s">
        <v>150</v>
      </c>
      <c r="E395" s="399" t="s">
        <v>132</v>
      </c>
      <c r="F395" s="399"/>
      <c r="G395" s="10">
        <f>G396</f>
        <v>0</v>
      </c>
      <c r="H395" s="10">
        <f>H396</f>
        <v>0</v>
      </c>
    </row>
    <row r="396" spans="1:8" ht="47.25" hidden="1" x14ac:dyDescent="0.25">
      <c r="A396" s="396" t="s">
        <v>133</v>
      </c>
      <c r="B396" s="392" t="s">
        <v>844</v>
      </c>
      <c r="C396" s="399" t="s">
        <v>118</v>
      </c>
      <c r="D396" s="9" t="s">
        <v>150</v>
      </c>
      <c r="E396" s="399" t="s">
        <v>134</v>
      </c>
      <c r="F396" s="399"/>
      <c r="G396" s="10">
        <f>'пр.6.1.ведом.22-23 (2)'!G112</f>
        <v>0</v>
      </c>
      <c r="H396" s="10">
        <f>'пр.6.1.ведом.22-23 (2)'!H112</f>
        <v>0</v>
      </c>
    </row>
    <row r="397" spans="1:8" ht="31.5" hidden="1" x14ac:dyDescent="0.25">
      <c r="A397" s="29" t="s">
        <v>148</v>
      </c>
      <c r="B397" s="392" t="s">
        <v>844</v>
      </c>
      <c r="C397" s="399" t="s">
        <v>118</v>
      </c>
      <c r="D397" s="9" t="s">
        <v>150</v>
      </c>
      <c r="E397" s="399" t="s">
        <v>134</v>
      </c>
      <c r="F397" s="399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00" t="s">
        <v>1345</v>
      </c>
      <c r="B398" s="187" t="s">
        <v>254</v>
      </c>
      <c r="C398" s="399"/>
      <c r="D398" s="399"/>
      <c r="E398" s="399"/>
      <c r="F398" s="399"/>
      <c r="G398" s="59">
        <f t="shared" ref="G398:H398" si="48">G400</f>
        <v>10</v>
      </c>
      <c r="H398" s="59">
        <f t="shared" si="48"/>
        <v>10</v>
      </c>
    </row>
    <row r="399" spans="1:8" ht="47.25" x14ac:dyDescent="0.25">
      <c r="A399" s="394" t="s">
        <v>883</v>
      </c>
      <c r="B399" s="395" t="s">
        <v>881</v>
      </c>
      <c r="C399" s="399"/>
      <c r="D399" s="399"/>
      <c r="E399" s="399"/>
      <c r="F399" s="399"/>
      <c r="G399" s="59">
        <f t="shared" ref="G399:H400" si="49">G400</f>
        <v>10</v>
      </c>
      <c r="H399" s="59">
        <f t="shared" si="49"/>
        <v>10</v>
      </c>
    </row>
    <row r="400" spans="1:8" ht="15.75" x14ac:dyDescent="0.25">
      <c r="A400" s="29" t="s">
        <v>243</v>
      </c>
      <c r="B400" s="5" t="s">
        <v>881</v>
      </c>
      <c r="C400" s="399" t="s">
        <v>244</v>
      </c>
      <c r="D400" s="399"/>
      <c r="E400" s="399"/>
      <c r="F400" s="399"/>
      <c r="G400" s="10">
        <f t="shared" si="49"/>
        <v>10</v>
      </c>
      <c r="H400" s="10">
        <f t="shared" si="49"/>
        <v>10</v>
      </c>
    </row>
    <row r="401" spans="1:8" ht="15.75" x14ac:dyDescent="0.25">
      <c r="A401" s="29" t="s">
        <v>252</v>
      </c>
      <c r="B401" s="5" t="s">
        <v>881</v>
      </c>
      <c r="C401" s="399" t="s">
        <v>244</v>
      </c>
      <c r="D401" s="399" t="s">
        <v>215</v>
      </c>
      <c r="E401" s="399"/>
      <c r="F401" s="399"/>
      <c r="G401" s="10">
        <f>G402</f>
        <v>10</v>
      </c>
      <c r="H401" s="10">
        <f>H402</f>
        <v>10</v>
      </c>
    </row>
    <row r="402" spans="1:8" ht="31.5" x14ac:dyDescent="0.25">
      <c r="A402" s="396" t="s">
        <v>882</v>
      </c>
      <c r="B402" s="392" t="s">
        <v>1186</v>
      </c>
      <c r="C402" s="399" t="s">
        <v>244</v>
      </c>
      <c r="D402" s="399" t="s">
        <v>215</v>
      </c>
      <c r="E402" s="399"/>
      <c r="F402" s="399"/>
      <c r="G402" s="10">
        <f t="shared" ref="G402:H403" si="50">G403</f>
        <v>10</v>
      </c>
      <c r="H402" s="10">
        <f t="shared" si="50"/>
        <v>10</v>
      </c>
    </row>
    <row r="403" spans="1:8" ht="31.5" x14ac:dyDescent="0.25">
      <c r="A403" s="396" t="s">
        <v>248</v>
      </c>
      <c r="B403" s="392" t="s">
        <v>1186</v>
      </c>
      <c r="C403" s="399" t="s">
        <v>244</v>
      </c>
      <c r="D403" s="399" t="s">
        <v>215</v>
      </c>
      <c r="E403" s="399" t="s">
        <v>249</v>
      </c>
      <c r="F403" s="399"/>
      <c r="G403" s="10">
        <f t="shared" si="50"/>
        <v>10</v>
      </c>
      <c r="H403" s="10">
        <f t="shared" si="50"/>
        <v>10</v>
      </c>
    </row>
    <row r="404" spans="1:8" ht="47.25" x14ac:dyDescent="0.25">
      <c r="A404" s="396" t="s">
        <v>250</v>
      </c>
      <c r="B404" s="392" t="s">
        <v>1186</v>
      </c>
      <c r="C404" s="399" t="s">
        <v>244</v>
      </c>
      <c r="D404" s="399" t="s">
        <v>215</v>
      </c>
      <c r="E404" s="399" t="s">
        <v>251</v>
      </c>
      <c r="F404" s="399"/>
      <c r="G404" s="10">
        <f>'пр.6.1.ведом.22-23 (2)'!G230</f>
        <v>10</v>
      </c>
      <c r="H404" s="10">
        <f>'пр.6.1.ведом.22-23 (2)'!H230</f>
        <v>10</v>
      </c>
    </row>
    <row r="405" spans="1:8" ht="31.5" x14ac:dyDescent="0.25">
      <c r="A405" s="29" t="s">
        <v>148</v>
      </c>
      <c r="B405" s="392" t="s">
        <v>1186</v>
      </c>
      <c r="C405" s="399" t="s">
        <v>244</v>
      </c>
      <c r="D405" s="399" t="s">
        <v>215</v>
      </c>
      <c r="E405" s="399" t="s">
        <v>251</v>
      </c>
      <c r="F405" s="399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00" t="s">
        <v>1368</v>
      </c>
      <c r="B406" s="3" t="s">
        <v>482</v>
      </c>
      <c r="C406" s="68"/>
      <c r="D406" s="68"/>
      <c r="E406" s="68"/>
      <c r="F406" s="68"/>
      <c r="G406" s="388">
        <f>G407+G414+G429+G440+G447</f>
        <v>52873.1</v>
      </c>
      <c r="H406" s="388">
        <f>H407+H414+H429+H440+H447</f>
        <v>52873.1</v>
      </c>
    </row>
    <row r="407" spans="1:8" ht="47.25" x14ac:dyDescent="0.25">
      <c r="A407" s="394" t="s">
        <v>936</v>
      </c>
      <c r="B407" s="395" t="s">
        <v>1261</v>
      </c>
      <c r="C407" s="7"/>
      <c r="D407" s="7"/>
      <c r="E407" s="207"/>
      <c r="F407" s="187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399" t="s">
        <v>1261</v>
      </c>
      <c r="C408" s="2">
        <v>11</v>
      </c>
      <c r="D408" s="68"/>
      <c r="E408" s="68"/>
      <c r="F408" s="68"/>
      <c r="G408" s="10">
        <f t="shared" ref="G408:H411" si="51">G409</f>
        <v>47819.6</v>
      </c>
      <c r="H408" s="10">
        <f t="shared" si="51"/>
        <v>47819.6</v>
      </c>
    </row>
    <row r="409" spans="1:8" ht="16.5" x14ac:dyDescent="0.25">
      <c r="A409" s="29" t="s">
        <v>492</v>
      </c>
      <c r="B409" s="399" t="s">
        <v>1261</v>
      </c>
      <c r="C409" s="399" t="s">
        <v>491</v>
      </c>
      <c r="D409" s="399" t="s">
        <v>118</v>
      </c>
      <c r="E409" s="71"/>
      <c r="F409" s="5"/>
      <c r="G409" s="10">
        <f t="shared" si="51"/>
        <v>47819.6</v>
      </c>
      <c r="H409" s="10">
        <f t="shared" si="51"/>
        <v>47819.6</v>
      </c>
    </row>
    <row r="410" spans="1:8" ht="47.25" x14ac:dyDescent="0.25">
      <c r="A410" s="396" t="s">
        <v>1291</v>
      </c>
      <c r="B410" s="392" t="s">
        <v>1262</v>
      </c>
      <c r="C410" s="399" t="s">
        <v>491</v>
      </c>
      <c r="D410" s="399" t="s">
        <v>118</v>
      </c>
      <c r="E410" s="71"/>
      <c r="F410" s="5"/>
      <c r="G410" s="10">
        <f t="shared" si="51"/>
        <v>47819.6</v>
      </c>
      <c r="H410" s="10">
        <f t="shared" si="51"/>
        <v>47819.6</v>
      </c>
    </row>
    <row r="411" spans="1:8" ht="47.25" x14ac:dyDescent="0.25">
      <c r="A411" s="29" t="s">
        <v>272</v>
      </c>
      <c r="B411" s="392" t="s">
        <v>1262</v>
      </c>
      <c r="C411" s="399" t="s">
        <v>491</v>
      </c>
      <c r="D411" s="399" t="s">
        <v>118</v>
      </c>
      <c r="E411" s="399" t="s">
        <v>273</v>
      </c>
      <c r="F411" s="5"/>
      <c r="G411" s="10">
        <f t="shared" si="51"/>
        <v>47819.6</v>
      </c>
      <c r="H411" s="10">
        <f t="shared" si="51"/>
        <v>47819.6</v>
      </c>
    </row>
    <row r="412" spans="1:8" ht="15.75" x14ac:dyDescent="0.25">
      <c r="A412" s="29" t="s">
        <v>274</v>
      </c>
      <c r="B412" s="392" t="s">
        <v>1262</v>
      </c>
      <c r="C412" s="399" t="s">
        <v>491</v>
      </c>
      <c r="D412" s="399" t="s">
        <v>118</v>
      </c>
      <c r="E412" s="399" t="s">
        <v>275</v>
      </c>
      <c r="F412" s="5"/>
      <c r="G412" s="10">
        <f>'пр.6.1.ведом.22-23 (2)'!G770</f>
        <v>47819.6</v>
      </c>
      <c r="H412" s="10">
        <f>'пр.6.1.ведом.22-23 (2)'!H770</f>
        <v>47819.6</v>
      </c>
    </row>
    <row r="413" spans="1:8" ht="47.25" x14ac:dyDescent="0.25">
      <c r="A413" s="45" t="s">
        <v>480</v>
      </c>
      <c r="B413" s="392" t="s">
        <v>1262</v>
      </c>
      <c r="C413" s="399" t="s">
        <v>491</v>
      </c>
      <c r="D413" s="399" t="s">
        <v>118</v>
      </c>
      <c r="E413" s="399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394" t="s">
        <v>944</v>
      </c>
      <c r="B414" s="395" t="s">
        <v>1263</v>
      </c>
      <c r="C414" s="7"/>
      <c r="D414" s="7"/>
      <c r="E414" s="7"/>
      <c r="F414" s="187"/>
      <c r="G414" s="59">
        <f>G415</f>
        <v>36</v>
      </c>
      <c r="H414" s="59">
        <f>H415</f>
        <v>36</v>
      </c>
    </row>
    <row r="415" spans="1:8" ht="15.75" x14ac:dyDescent="0.25">
      <c r="A415" s="29" t="s">
        <v>490</v>
      </c>
      <c r="B415" s="392" t="s">
        <v>1263</v>
      </c>
      <c r="C415" s="2">
        <v>11</v>
      </c>
      <c r="D415" s="68"/>
      <c r="E415" s="68"/>
      <c r="F415" s="68"/>
      <c r="G415" s="10">
        <f t="shared" ref="G415:H415" si="52">G416</f>
        <v>36</v>
      </c>
      <c r="H415" s="10">
        <f t="shared" si="52"/>
        <v>36</v>
      </c>
    </row>
    <row r="416" spans="1:8" ht="16.5" x14ac:dyDescent="0.25">
      <c r="A416" s="29" t="s">
        <v>492</v>
      </c>
      <c r="B416" s="392" t="s">
        <v>1263</v>
      </c>
      <c r="C416" s="399" t="s">
        <v>491</v>
      </c>
      <c r="D416" s="399" t="s">
        <v>118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278</v>
      </c>
      <c r="B417" s="392" t="s">
        <v>1321</v>
      </c>
      <c r="C417" s="399" t="s">
        <v>491</v>
      </c>
      <c r="D417" s="399" t="s">
        <v>118</v>
      </c>
      <c r="E417" s="399"/>
      <c r="F417" s="5"/>
      <c r="G417" s="10">
        <f t="shared" ref="G417:H418" si="53">G418</f>
        <v>0</v>
      </c>
      <c r="H417" s="10">
        <f t="shared" si="53"/>
        <v>0</v>
      </c>
    </row>
    <row r="418" spans="1:8" ht="47.25" hidden="1" x14ac:dyDescent="0.25">
      <c r="A418" s="29" t="s">
        <v>272</v>
      </c>
      <c r="B418" s="392" t="s">
        <v>1321</v>
      </c>
      <c r="C418" s="399" t="s">
        <v>491</v>
      </c>
      <c r="D418" s="399" t="s">
        <v>118</v>
      </c>
      <c r="E418" s="399" t="s">
        <v>273</v>
      </c>
      <c r="F418" s="5"/>
      <c r="G418" s="10">
        <f t="shared" si="53"/>
        <v>0</v>
      </c>
      <c r="H418" s="10">
        <f t="shared" si="53"/>
        <v>0</v>
      </c>
    </row>
    <row r="419" spans="1:8" ht="15.75" hidden="1" x14ac:dyDescent="0.25">
      <c r="A419" s="29" t="s">
        <v>274</v>
      </c>
      <c r="B419" s="392" t="s">
        <v>1321</v>
      </c>
      <c r="C419" s="399" t="s">
        <v>491</v>
      </c>
      <c r="D419" s="399" t="s">
        <v>118</v>
      </c>
      <c r="E419" s="399" t="s">
        <v>275</v>
      </c>
      <c r="F419" s="5"/>
      <c r="G419" s="10">
        <f>'пр.6.1.ведом.22-23 (2)'!G774</f>
        <v>0</v>
      </c>
      <c r="H419" s="10">
        <f>'пр.6.1.ведом.22-23 (2)'!H774</f>
        <v>0</v>
      </c>
    </row>
    <row r="420" spans="1:8" ht="47.25" hidden="1" x14ac:dyDescent="0.25">
      <c r="A420" s="45" t="s">
        <v>480</v>
      </c>
      <c r="B420" s="392" t="s">
        <v>1321</v>
      </c>
      <c r="C420" s="399" t="s">
        <v>491</v>
      </c>
      <c r="D420" s="399" t="s">
        <v>118</v>
      </c>
      <c r="E420" s="399" t="s">
        <v>275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280</v>
      </c>
      <c r="B421" s="392" t="s">
        <v>1322</v>
      </c>
      <c r="C421" s="399" t="s">
        <v>491</v>
      </c>
      <c r="D421" s="399" t="s">
        <v>118</v>
      </c>
      <c r="E421" s="399"/>
      <c r="F421" s="5"/>
      <c r="G421" s="10">
        <f t="shared" ref="G421:H422" si="54">G422</f>
        <v>0</v>
      </c>
      <c r="H421" s="10">
        <f t="shared" si="54"/>
        <v>0</v>
      </c>
    </row>
    <row r="422" spans="1:8" ht="47.25" hidden="1" x14ac:dyDescent="0.25">
      <c r="A422" s="29" t="s">
        <v>272</v>
      </c>
      <c r="B422" s="392" t="s">
        <v>1322</v>
      </c>
      <c r="C422" s="399" t="s">
        <v>491</v>
      </c>
      <c r="D422" s="399" t="s">
        <v>118</v>
      </c>
      <c r="E422" s="399" t="s">
        <v>273</v>
      </c>
      <c r="F422" s="5"/>
      <c r="G422" s="10">
        <f t="shared" si="54"/>
        <v>0</v>
      </c>
      <c r="H422" s="10">
        <f t="shared" si="54"/>
        <v>0</v>
      </c>
    </row>
    <row r="423" spans="1:8" ht="15.75" hidden="1" x14ac:dyDescent="0.25">
      <c r="A423" s="29" t="s">
        <v>274</v>
      </c>
      <c r="B423" s="392" t="s">
        <v>1322</v>
      </c>
      <c r="C423" s="399" t="s">
        <v>491</v>
      </c>
      <c r="D423" s="399" t="s">
        <v>118</v>
      </c>
      <c r="E423" s="399" t="s">
        <v>275</v>
      </c>
      <c r="F423" s="5"/>
      <c r="G423" s="10">
        <f>'пр.6.1.ведом.22-23 (2)'!G777</f>
        <v>0</v>
      </c>
      <c r="H423" s="10">
        <f>'пр.6.1.ведом.22-23 (2)'!H777</f>
        <v>0</v>
      </c>
    </row>
    <row r="424" spans="1:8" ht="47.25" hidden="1" x14ac:dyDescent="0.25">
      <c r="A424" s="45" t="s">
        <v>480</v>
      </c>
      <c r="B424" s="392" t="s">
        <v>1322</v>
      </c>
      <c r="C424" s="399" t="s">
        <v>491</v>
      </c>
      <c r="D424" s="399" t="s">
        <v>118</v>
      </c>
      <c r="E424" s="399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396" t="s">
        <v>829</v>
      </c>
      <c r="B425" s="392" t="s">
        <v>1264</v>
      </c>
      <c r="C425" s="399" t="s">
        <v>491</v>
      </c>
      <c r="D425" s="399" t="s">
        <v>118</v>
      </c>
      <c r="E425" s="399"/>
      <c r="F425" s="5"/>
      <c r="G425" s="10">
        <f>G426</f>
        <v>36</v>
      </c>
      <c r="H425" s="10">
        <f>H426</f>
        <v>36</v>
      </c>
    </row>
    <row r="426" spans="1:8" ht="47.25" x14ac:dyDescent="0.25">
      <c r="A426" s="396" t="s">
        <v>272</v>
      </c>
      <c r="B426" s="392" t="s">
        <v>1264</v>
      </c>
      <c r="C426" s="399" t="s">
        <v>491</v>
      </c>
      <c r="D426" s="399" t="s">
        <v>118</v>
      </c>
      <c r="E426" s="399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396" t="s">
        <v>274</v>
      </c>
      <c r="B427" s="392" t="s">
        <v>1264</v>
      </c>
      <c r="C427" s="399" t="s">
        <v>491</v>
      </c>
      <c r="D427" s="399" t="s">
        <v>118</v>
      </c>
      <c r="E427" s="399" t="s">
        <v>275</v>
      </c>
      <c r="F427" s="5"/>
      <c r="G427" s="10">
        <f>'пр.6.1.ведом.22-23 (2)'!G781</f>
        <v>36</v>
      </c>
      <c r="H427" s="10">
        <f>'пр.6.1.ведом.22-23 (2)'!H781</f>
        <v>36</v>
      </c>
    </row>
    <row r="428" spans="1:8" ht="47.25" x14ac:dyDescent="0.25">
      <c r="A428" s="45" t="s">
        <v>480</v>
      </c>
      <c r="B428" s="392" t="s">
        <v>1264</v>
      </c>
      <c r="C428" s="399" t="s">
        <v>491</v>
      </c>
      <c r="D428" s="399" t="s">
        <v>118</v>
      </c>
      <c r="E428" s="399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394" t="s">
        <v>946</v>
      </c>
      <c r="B429" s="395" t="s">
        <v>1265</v>
      </c>
      <c r="C429" s="7"/>
      <c r="D429" s="7"/>
      <c r="E429" s="7"/>
      <c r="F429" s="187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392" t="s">
        <v>1265</v>
      </c>
      <c r="C430" s="2">
        <v>11</v>
      </c>
      <c r="D430" s="68"/>
      <c r="E430" s="68"/>
      <c r="F430" s="68"/>
      <c r="G430" s="10">
        <f t="shared" ref="G430:H430" si="55">G431</f>
        <v>1204</v>
      </c>
      <c r="H430" s="10">
        <f t="shared" si="55"/>
        <v>1204</v>
      </c>
    </row>
    <row r="431" spans="1:8" ht="16.5" x14ac:dyDescent="0.25">
      <c r="A431" s="29" t="s">
        <v>492</v>
      </c>
      <c r="B431" s="392" t="s">
        <v>1265</v>
      </c>
      <c r="C431" s="399" t="s">
        <v>491</v>
      </c>
      <c r="D431" s="399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392" t="s">
        <v>1303</v>
      </c>
      <c r="C432" s="399" t="s">
        <v>491</v>
      </c>
      <c r="D432" s="399" t="s">
        <v>118</v>
      </c>
      <c r="E432" s="399"/>
      <c r="F432" s="5"/>
      <c r="G432" s="10">
        <f t="shared" ref="G432:H433" si="56">G433</f>
        <v>0</v>
      </c>
      <c r="H432" s="10">
        <f t="shared" si="56"/>
        <v>0</v>
      </c>
    </row>
    <row r="433" spans="1:8" ht="47.25" hidden="1" x14ac:dyDescent="0.25">
      <c r="A433" s="29" t="s">
        <v>272</v>
      </c>
      <c r="B433" s="392" t="s">
        <v>1303</v>
      </c>
      <c r="C433" s="399" t="s">
        <v>491</v>
      </c>
      <c r="D433" s="399" t="s">
        <v>118</v>
      </c>
      <c r="E433" s="399" t="s">
        <v>273</v>
      </c>
      <c r="F433" s="5"/>
      <c r="G433" s="10">
        <f t="shared" si="56"/>
        <v>0</v>
      </c>
      <c r="H433" s="10">
        <f t="shared" si="56"/>
        <v>0</v>
      </c>
    </row>
    <row r="434" spans="1:8" ht="15.75" hidden="1" x14ac:dyDescent="0.25">
      <c r="A434" s="29" t="s">
        <v>274</v>
      </c>
      <c r="B434" s="392" t="s">
        <v>1303</v>
      </c>
      <c r="C434" s="399" t="s">
        <v>491</v>
      </c>
      <c r="D434" s="399" t="s">
        <v>118</v>
      </c>
      <c r="E434" s="399" t="s">
        <v>275</v>
      </c>
      <c r="F434" s="5"/>
      <c r="G434" s="10">
        <f>'пр.6.1.ведом.22-23 (2)'!G785</f>
        <v>0</v>
      </c>
      <c r="H434" s="10">
        <f>'пр.6.1.ведом.22-23 (2)'!H785</f>
        <v>0</v>
      </c>
    </row>
    <row r="435" spans="1:8" ht="47.25" hidden="1" x14ac:dyDescent="0.25">
      <c r="A435" s="45" t="s">
        <v>480</v>
      </c>
      <c r="B435" s="392" t="s">
        <v>1303</v>
      </c>
      <c r="C435" s="399" t="s">
        <v>491</v>
      </c>
      <c r="D435" s="399" t="s">
        <v>118</v>
      </c>
      <c r="E435" s="399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392" t="s">
        <v>1266</v>
      </c>
      <c r="C436" s="399" t="s">
        <v>491</v>
      </c>
      <c r="D436" s="399" t="s">
        <v>118</v>
      </c>
      <c r="E436" s="399"/>
      <c r="F436" s="5"/>
      <c r="G436" s="10">
        <f t="shared" ref="G436:H437" si="57">G437</f>
        <v>1204</v>
      </c>
      <c r="H436" s="10">
        <f t="shared" si="57"/>
        <v>1204</v>
      </c>
    </row>
    <row r="437" spans="1:8" ht="47.25" x14ac:dyDescent="0.25">
      <c r="A437" s="31" t="s">
        <v>272</v>
      </c>
      <c r="B437" s="392" t="s">
        <v>1266</v>
      </c>
      <c r="C437" s="399" t="s">
        <v>491</v>
      </c>
      <c r="D437" s="399" t="s">
        <v>118</v>
      </c>
      <c r="E437" s="399" t="s">
        <v>273</v>
      </c>
      <c r="F437" s="5"/>
      <c r="G437" s="10">
        <f t="shared" si="57"/>
        <v>1204</v>
      </c>
      <c r="H437" s="10">
        <f t="shared" si="57"/>
        <v>1204</v>
      </c>
    </row>
    <row r="438" spans="1:8" ht="15.75" x14ac:dyDescent="0.25">
      <c r="A438" s="31" t="s">
        <v>274</v>
      </c>
      <c r="B438" s="392" t="s">
        <v>1266</v>
      </c>
      <c r="C438" s="399" t="s">
        <v>491</v>
      </c>
      <c r="D438" s="399" t="s">
        <v>118</v>
      </c>
      <c r="E438" s="399" t="s">
        <v>275</v>
      </c>
      <c r="F438" s="5"/>
      <c r="G438" s="10">
        <f>'пр.6.1.ведом.22-23 (2)'!G788</f>
        <v>1204</v>
      </c>
      <c r="H438" s="10">
        <f>'пр.6.1.ведом.22-23 (2)'!H788</f>
        <v>1204</v>
      </c>
    </row>
    <row r="439" spans="1:8" ht="47.25" x14ac:dyDescent="0.25">
      <c r="A439" s="45" t="s">
        <v>480</v>
      </c>
      <c r="B439" s="392" t="s">
        <v>1266</v>
      </c>
      <c r="C439" s="399" t="s">
        <v>491</v>
      </c>
      <c r="D439" s="399" t="s">
        <v>118</v>
      </c>
      <c r="E439" s="399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394" t="s">
        <v>899</v>
      </c>
      <c r="B440" s="395" t="s">
        <v>1267</v>
      </c>
      <c r="C440" s="7"/>
      <c r="D440" s="7"/>
      <c r="E440" s="7"/>
      <c r="F440" s="187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392" t="s">
        <v>1267</v>
      </c>
      <c r="C441" s="2">
        <v>11</v>
      </c>
      <c r="D441" s="68"/>
      <c r="E441" s="68"/>
      <c r="F441" s="68"/>
      <c r="G441" s="10">
        <f t="shared" ref="G441:H444" si="58">G442</f>
        <v>813.5</v>
      </c>
      <c r="H441" s="10">
        <f t="shared" si="58"/>
        <v>813.5</v>
      </c>
    </row>
    <row r="442" spans="1:8" ht="16.5" x14ac:dyDescent="0.25">
      <c r="A442" s="29" t="s">
        <v>492</v>
      </c>
      <c r="B442" s="392" t="s">
        <v>1267</v>
      </c>
      <c r="C442" s="399" t="s">
        <v>491</v>
      </c>
      <c r="D442" s="399" t="s">
        <v>118</v>
      </c>
      <c r="E442" s="71"/>
      <c r="F442" s="5"/>
      <c r="G442" s="10">
        <f t="shared" si="58"/>
        <v>813.5</v>
      </c>
      <c r="H442" s="10">
        <f t="shared" si="58"/>
        <v>813.5</v>
      </c>
    </row>
    <row r="443" spans="1:8" ht="110.25" x14ac:dyDescent="0.25">
      <c r="A443" s="31" t="s">
        <v>464</v>
      </c>
      <c r="B443" s="392" t="s">
        <v>1401</v>
      </c>
      <c r="C443" s="399" t="s">
        <v>491</v>
      </c>
      <c r="D443" s="399" t="s">
        <v>118</v>
      </c>
      <c r="E443" s="399"/>
      <c r="F443" s="5"/>
      <c r="G443" s="10">
        <f t="shared" si="58"/>
        <v>813.5</v>
      </c>
      <c r="H443" s="10">
        <f t="shared" si="58"/>
        <v>813.5</v>
      </c>
    </row>
    <row r="444" spans="1:8" ht="47.25" x14ac:dyDescent="0.25">
      <c r="A444" s="396" t="s">
        <v>272</v>
      </c>
      <c r="B444" s="392" t="s">
        <v>1401</v>
      </c>
      <c r="C444" s="399" t="s">
        <v>491</v>
      </c>
      <c r="D444" s="399" t="s">
        <v>118</v>
      </c>
      <c r="E444" s="399" t="s">
        <v>273</v>
      </c>
      <c r="F444" s="5"/>
      <c r="G444" s="10">
        <f t="shared" si="58"/>
        <v>813.5</v>
      </c>
      <c r="H444" s="10">
        <f t="shared" si="58"/>
        <v>813.5</v>
      </c>
    </row>
    <row r="445" spans="1:8" ht="15.75" x14ac:dyDescent="0.25">
      <c r="A445" s="396" t="s">
        <v>274</v>
      </c>
      <c r="B445" s="392" t="s">
        <v>1401</v>
      </c>
      <c r="C445" s="399" t="s">
        <v>491</v>
      </c>
      <c r="D445" s="399" t="s">
        <v>118</v>
      </c>
      <c r="E445" s="399" t="s">
        <v>275</v>
      </c>
      <c r="F445" s="5"/>
      <c r="G445" s="10">
        <f>'пр.6.1.ведом.22-23 (2)'!G792</f>
        <v>813.5</v>
      </c>
      <c r="H445" s="10">
        <f>'пр.6.1.ведом.22-23 (2)'!H792</f>
        <v>813.5</v>
      </c>
    </row>
    <row r="446" spans="1:8" ht="47.25" x14ac:dyDescent="0.25">
      <c r="A446" s="45" t="s">
        <v>480</v>
      </c>
      <c r="B446" s="392" t="s">
        <v>1401</v>
      </c>
      <c r="C446" s="399" t="s">
        <v>491</v>
      </c>
      <c r="D446" s="399" t="s">
        <v>118</v>
      </c>
      <c r="E446" s="399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950</v>
      </c>
      <c r="B447" s="7" t="s">
        <v>1269</v>
      </c>
      <c r="C447" s="7"/>
      <c r="D447" s="7"/>
      <c r="E447" s="7"/>
      <c r="F447" s="187"/>
      <c r="G447" s="388">
        <f t="shared" ref="G447:H449" si="59">G448</f>
        <v>3000</v>
      </c>
      <c r="H447" s="388">
        <f t="shared" si="59"/>
        <v>3000</v>
      </c>
    </row>
    <row r="448" spans="1:8" ht="15.75" x14ac:dyDescent="0.25">
      <c r="A448" s="29" t="s">
        <v>490</v>
      </c>
      <c r="B448" s="399" t="s">
        <v>1269</v>
      </c>
      <c r="C448" s="399" t="s">
        <v>491</v>
      </c>
      <c r="D448" s="399"/>
      <c r="E448" s="399"/>
      <c r="F448" s="5"/>
      <c r="G448" s="389">
        <f t="shared" si="59"/>
        <v>3000</v>
      </c>
      <c r="H448" s="389">
        <f t="shared" si="59"/>
        <v>3000</v>
      </c>
    </row>
    <row r="449" spans="1:12" ht="31.5" x14ac:dyDescent="0.25">
      <c r="A449" s="396" t="s">
        <v>500</v>
      </c>
      <c r="B449" s="399" t="s">
        <v>1269</v>
      </c>
      <c r="C449" s="399" t="s">
        <v>491</v>
      </c>
      <c r="D449" s="399" t="s">
        <v>234</v>
      </c>
      <c r="E449" s="399"/>
      <c r="F449" s="5"/>
      <c r="G449" s="389">
        <f t="shared" si="59"/>
        <v>3000</v>
      </c>
      <c r="H449" s="389">
        <f t="shared" si="59"/>
        <v>3000</v>
      </c>
    </row>
    <row r="450" spans="1:12" ht="31.5" x14ac:dyDescent="0.25">
      <c r="A450" s="29" t="s">
        <v>951</v>
      </c>
      <c r="B450" s="399" t="s">
        <v>1270</v>
      </c>
      <c r="C450" s="399" t="s">
        <v>491</v>
      </c>
      <c r="D450" s="399" t="s">
        <v>234</v>
      </c>
      <c r="E450" s="399"/>
      <c r="F450" s="5"/>
      <c r="G450" s="389">
        <f>G451+G454</f>
        <v>3000</v>
      </c>
      <c r="H450" s="389">
        <f>H451+H454</f>
        <v>3000</v>
      </c>
    </row>
    <row r="451" spans="1:12" ht="94.5" x14ac:dyDescent="0.25">
      <c r="A451" s="396" t="s">
        <v>127</v>
      </c>
      <c r="B451" s="399" t="s">
        <v>1270</v>
      </c>
      <c r="C451" s="399" t="s">
        <v>491</v>
      </c>
      <c r="D451" s="399" t="s">
        <v>234</v>
      </c>
      <c r="E451" s="399" t="s">
        <v>128</v>
      </c>
      <c r="F451" s="5"/>
      <c r="G451" s="389">
        <f t="shared" ref="G451:H451" si="60">G452</f>
        <v>2500</v>
      </c>
      <c r="H451" s="389">
        <f t="shared" si="60"/>
        <v>2500</v>
      </c>
    </row>
    <row r="452" spans="1:12" ht="31.5" x14ac:dyDescent="0.25">
      <c r="A452" s="396" t="s">
        <v>342</v>
      </c>
      <c r="B452" s="399" t="s">
        <v>1270</v>
      </c>
      <c r="C452" s="399" t="s">
        <v>491</v>
      </c>
      <c r="D452" s="399" t="s">
        <v>234</v>
      </c>
      <c r="E452" s="399" t="s">
        <v>209</v>
      </c>
      <c r="F452" s="5"/>
      <c r="G452" s="389">
        <f>'пр.6.1.ведом.22-23 (2)'!G828</f>
        <v>2500</v>
      </c>
      <c r="H452" s="389">
        <f>'пр.6.1.ведом.22-23 (2)'!H828</f>
        <v>2500</v>
      </c>
    </row>
    <row r="453" spans="1:12" ht="47.25" x14ac:dyDescent="0.25">
      <c r="A453" s="45" t="s">
        <v>480</v>
      </c>
      <c r="B453" s="399" t="s">
        <v>1270</v>
      </c>
      <c r="C453" s="399" t="s">
        <v>491</v>
      </c>
      <c r="D453" s="399" t="s">
        <v>234</v>
      </c>
      <c r="E453" s="399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399" t="s">
        <v>1270</v>
      </c>
      <c r="C454" s="399" t="s">
        <v>491</v>
      </c>
      <c r="D454" s="399" t="s">
        <v>234</v>
      </c>
      <c r="E454" s="399" t="s">
        <v>132</v>
      </c>
      <c r="F454" s="5"/>
      <c r="G454" s="389">
        <f t="shared" ref="G454:H454" si="61">G455</f>
        <v>500</v>
      </c>
      <c r="H454" s="389">
        <f t="shared" si="61"/>
        <v>500</v>
      </c>
    </row>
    <row r="455" spans="1:12" ht="47.25" x14ac:dyDescent="0.25">
      <c r="A455" s="29" t="s">
        <v>133</v>
      </c>
      <c r="B455" s="399" t="s">
        <v>1270</v>
      </c>
      <c r="C455" s="399" t="s">
        <v>491</v>
      </c>
      <c r="D455" s="399" t="s">
        <v>234</v>
      </c>
      <c r="E455" s="399" t="s">
        <v>134</v>
      </c>
      <c r="F455" s="5"/>
      <c r="G455" s="389">
        <f>'пр.6.1.ведом.22-23 (2)'!G830</f>
        <v>500</v>
      </c>
      <c r="H455" s="389">
        <f>'пр.6.1.ведом.22-23 (2)'!H830</f>
        <v>500</v>
      </c>
    </row>
    <row r="456" spans="1:12" ht="47.25" x14ac:dyDescent="0.25">
      <c r="A456" s="45" t="s">
        <v>480</v>
      </c>
      <c r="B456" s="399" t="s">
        <v>1270</v>
      </c>
      <c r="C456" s="399" t="s">
        <v>491</v>
      </c>
      <c r="D456" s="399" t="s">
        <v>234</v>
      </c>
      <c r="E456" s="399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ht="78.75" hidden="1" x14ac:dyDescent="0.25">
      <c r="A457" s="394" t="s">
        <v>1329</v>
      </c>
      <c r="B457" s="395" t="s">
        <v>1268</v>
      </c>
      <c r="C457" s="7"/>
      <c r="D457" s="7"/>
      <c r="E457" s="7"/>
      <c r="F457" s="187"/>
      <c r="G457" s="59">
        <f>G458</f>
        <v>769.23</v>
      </c>
      <c r="H457" s="10"/>
    </row>
    <row r="458" spans="1:12" ht="15.75" hidden="1" x14ac:dyDescent="0.25">
      <c r="A458" s="29" t="s">
        <v>490</v>
      </c>
      <c r="B458" s="392" t="s">
        <v>1268</v>
      </c>
      <c r="C458" s="399" t="s">
        <v>491</v>
      </c>
      <c r="D458" s="399"/>
      <c r="E458" s="399"/>
      <c r="F458" s="5"/>
      <c r="G458" s="10">
        <f>G459</f>
        <v>769.23</v>
      </c>
      <c r="H458" s="10"/>
    </row>
    <row r="459" spans="1:12" ht="15.75" hidden="1" x14ac:dyDescent="0.25">
      <c r="A459" s="29" t="s">
        <v>492</v>
      </c>
      <c r="B459" s="392" t="s">
        <v>1268</v>
      </c>
      <c r="C459" s="399" t="s">
        <v>491</v>
      </c>
      <c r="D459" s="399" t="s">
        <v>118</v>
      </c>
      <c r="E459" s="399"/>
      <c r="F459" s="5"/>
      <c r="G459" s="10">
        <f>G460</f>
        <v>769.23</v>
      </c>
      <c r="H459" s="10"/>
    </row>
    <row r="460" spans="1:12" ht="63" hidden="1" x14ac:dyDescent="0.25">
      <c r="A460" s="396" t="s">
        <v>1191</v>
      </c>
      <c r="B460" s="392" t="s">
        <v>1323</v>
      </c>
      <c r="C460" s="399" t="s">
        <v>491</v>
      </c>
      <c r="D460" s="399" t="s">
        <v>118</v>
      </c>
      <c r="E460" s="399"/>
      <c r="F460" s="5"/>
      <c r="G460" s="10">
        <f>G461</f>
        <v>769.23</v>
      </c>
      <c r="H460" s="10"/>
    </row>
    <row r="461" spans="1:12" ht="47.25" hidden="1" x14ac:dyDescent="0.25">
      <c r="A461" s="396" t="s">
        <v>272</v>
      </c>
      <c r="B461" s="392" t="s">
        <v>1323</v>
      </c>
      <c r="C461" s="399" t="s">
        <v>491</v>
      </c>
      <c r="D461" s="399" t="s">
        <v>118</v>
      </c>
      <c r="E461" s="399" t="s">
        <v>273</v>
      </c>
      <c r="F461" s="5"/>
      <c r="G461" s="10">
        <f>G462</f>
        <v>769.23</v>
      </c>
      <c r="H461" s="10"/>
    </row>
    <row r="462" spans="1:12" ht="15.75" hidden="1" x14ac:dyDescent="0.25">
      <c r="A462" s="396" t="s">
        <v>274</v>
      </c>
      <c r="B462" s="392" t="s">
        <v>1323</v>
      </c>
      <c r="C462" s="399" t="s">
        <v>491</v>
      </c>
      <c r="D462" s="399" t="s">
        <v>118</v>
      </c>
      <c r="E462" s="399" t="s">
        <v>275</v>
      </c>
      <c r="F462" s="5"/>
      <c r="G462" s="10">
        <f>'[1]Пр.5 ведом.21'!G784</f>
        <v>769.23</v>
      </c>
      <c r="H462" s="10"/>
    </row>
    <row r="463" spans="1:12" ht="47.25" hidden="1" x14ac:dyDescent="0.25">
      <c r="A463" s="45" t="s">
        <v>480</v>
      </c>
      <c r="B463" s="392" t="s">
        <v>1323</v>
      </c>
      <c r="C463" s="399" t="s">
        <v>491</v>
      </c>
      <c r="D463" s="399" t="s">
        <v>118</v>
      </c>
      <c r="E463" s="399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00" t="s">
        <v>1350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 s="387">
        <v>81484.899999999994</v>
      </c>
      <c r="J464" s="22">
        <f>I464-G464</f>
        <v>1.0000000009313226E-2</v>
      </c>
      <c r="K464" s="387">
        <v>82684.899999999994</v>
      </c>
      <c r="L464" s="22">
        <f>K464-H464</f>
        <v>1.0000000009313226E-2</v>
      </c>
    </row>
    <row r="465" spans="1:8" ht="47.25" x14ac:dyDescent="0.25">
      <c r="A465" s="394" t="s">
        <v>1297</v>
      </c>
      <c r="B465" s="395" t="s">
        <v>1201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ht="15.75" x14ac:dyDescent="0.25">
      <c r="A466" s="396" t="s">
        <v>263</v>
      </c>
      <c r="B466" s="392" t="s">
        <v>1201</v>
      </c>
      <c r="C466" s="399" t="s">
        <v>264</v>
      </c>
      <c r="D466" s="399"/>
      <c r="E466" s="399"/>
      <c r="F466" s="2"/>
      <c r="G466" s="10">
        <f>G467</f>
        <v>15854.01</v>
      </c>
      <c r="H466" s="10">
        <f>H467</f>
        <v>15854.01</v>
      </c>
    </row>
    <row r="467" spans="1:8" ht="15.75" x14ac:dyDescent="0.25">
      <c r="A467" s="396" t="s">
        <v>265</v>
      </c>
      <c r="B467" s="392" t="s">
        <v>1201</v>
      </c>
      <c r="C467" s="399" t="s">
        <v>264</v>
      </c>
      <c r="D467" s="399" t="s">
        <v>215</v>
      </c>
      <c r="E467" s="399"/>
      <c r="F467" s="2"/>
      <c r="G467" s="10">
        <f>G468</f>
        <v>15854.01</v>
      </c>
      <c r="H467" s="10">
        <f>H468</f>
        <v>15854.01</v>
      </c>
    </row>
    <row r="468" spans="1:8" ht="31.5" x14ac:dyDescent="0.25">
      <c r="A468" s="396" t="s">
        <v>800</v>
      </c>
      <c r="B468" s="392" t="s">
        <v>1202</v>
      </c>
      <c r="C468" s="399" t="s">
        <v>264</v>
      </c>
      <c r="D468" s="399" t="s">
        <v>215</v>
      </c>
      <c r="E468" s="399"/>
      <c r="F468" s="2"/>
      <c r="G468" s="10">
        <f>G469+G472+G475</f>
        <v>15854.01</v>
      </c>
      <c r="H468" s="10">
        <f>H469+H472+H475</f>
        <v>15854.01</v>
      </c>
    </row>
    <row r="469" spans="1:8" ht="94.5" x14ac:dyDescent="0.25">
      <c r="A469" s="396" t="s">
        <v>127</v>
      </c>
      <c r="B469" s="392" t="s">
        <v>1202</v>
      </c>
      <c r="C469" s="399" t="s">
        <v>264</v>
      </c>
      <c r="D469" s="399" t="s">
        <v>215</v>
      </c>
      <c r="E469" s="392" t="s">
        <v>128</v>
      </c>
      <c r="F469" s="2"/>
      <c r="G469" s="10">
        <f>G470</f>
        <v>14172.31</v>
      </c>
      <c r="H469" s="10">
        <f>H470</f>
        <v>14172.31</v>
      </c>
    </row>
    <row r="470" spans="1:8" ht="31.5" x14ac:dyDescent="0.25">
      <c r="A470" s="46" t="s">
        <v>342</v>
      </c>
      <c r="B470" s="392" t="s">
        <v>1202</v>
      </c>
      <c r="C470" s="399" t="s">
        <v>264</v>
      </c>
      <c r="D470" s="399" t="s">
        <v>215</v>
      </c>
      <c r="E470" s="392" t="s">
        <v>209</v>
      </c>
      <c r="F470" s="2"/>
      <c r="G470" s="10">
        <f>'пр.6.1.ведом.22-23 (2)'!G299</f>
        <v>14172.31</v>
      </c>
      <c r="H470" s="10">
        <f>'пр.6.1.ведом.22-23 (2)'!H299</f>
        <v>14172.31</v>
      </c>
    </row>
    <row r="471" spans="1:8" ht="47.25" x14ac:dyDescent="0.25">
      <c r="A471" s="45" t="s">
        <v>261</v>
      </c>
      <c r="B471" s="392" t="s">
        <v>1202</v>
      </c>
      <c r="C471" s="399" t="s">
        <v>264</v>
      </c>
      <c r="D471" s="399" t="s">
        <v>215</v>
      </c>
      <c r="E471" s="392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ht="31.5" x14ac:dyDescent="0.25">
      <c r="A472" s="396" t="s">
        <v>131</v>
      </c>
      <c r="B472" s="392" t="s">
        <v>1202</v>
      </c>
      <c r="C472" s="399" t="s">
        <v>264</v>
      </c>
      <c r="D472" s="399" t="s">
        <v>215</v>
      </c>
      <c r="E472" s="392" t="s">
        <v>132</v>
      </c>
      <c r="F472" s="2"/>
      <c r="G472" s="10">
        <f>G473</f>
        <v>1603.7</v>
      </c>
      <c r="H472" s="10">
        <f>H473</f>
        <v>1603.7</v>
      </c>
    </row>
    <row r="473" spans="1:8" ht="47.25" x14ac:dyDescent="0.25">
      <c r="A473" s="396" t="s">
        <v>133</v>
      </c>
      <c r="B473" s="392" t="s">
        <v>1202</v>
      </c>
      <c r="C473" s="399" t="s">
        <v>264</v>
      </c>
      <c r="D473" s="399" t="s">
        <v>215</v>
      </c>
      <c r="E473" s="392" t="s">
        <v>134</v>
      </c>
      <c r="F473" s="2"/>
      <c r="G473" s="10">
        <f>'пр.6.1.ведом.22-23 (2)'!G301</f>
        <v>1603.7</v>
      </c>
      <c r="H473" s="10">
        <f>'пр.6.1.ведом.22-23 (2)'!H301</f>
        <v>1603.7</v>
      </c>
    </row>
    <row r="474" spans="1:8" ht="47.25" x14ac:dyDescent="0.25">
      <c r="A474" s="45" t="s">
        <v>261</v>
      </c>
      <c r="B474" s="392" t="s">
        <v>1202</v>
      </c>
      <c r="C474" s="399" t="s">
        <v>264</v>
      </c>
      <c r="D474" s="399" t="s">
        <v>215</v>
      </c>
      <c r="E474" s="392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ht="15.75" x14ac:dyDescent="0.25">
      <c r="A475" s="396" t="s">
        <v>135</v>
      </c>
      <c r="B475" s="392" t="s">
        <v>1202</v>
      </c>
      <c r="C475" s="399" t="s">
        <v>264</v>
      </c>
      <c r="D475" s="399" t="s">
        <v>215</v>
      </c>
      <c r="E475" s="392" t="s">
        <v>145</v>
      </c>
      <c r="F475" s="2"/>
      <c r="G475" s="10">
        <f>G476</f>
        <v>78</v>
      </c>
      <c r="H475" s="10">
        <f>H476</f>
        <v>78</v>
      </c>
    </row>
    <row r="476" spans="1:8" ht="15.75" x14ac:dyDescent="0.25">
      <c r="A476" s="396" t="s">
        <v>704</v>
      </c>
      <c r="B476" s="392" t="s">
        <v>1202</v>
      </c>
      <c r="C476" s="399" t="s">
        <v>264</v>
      </c>
      <c r="D476" s="399" t="s">
        <v>215</v>
      </c>
      <c r="E476" s="392" t="s">
        <v>138</v>
      </c>
      <c r="F476" s="2"/>
      <c r="G476" s="10">
        <f>'пр.6.1.ведом.22-23 (2)'!G303</f>
        <v>78</v>
      </c>
      <c r="H476" s="10">
        <f>'пр.6.1.ведом.22-23 (2)'!H303</f>
        <v>78</v>
      </c>
    </row>
    <row r="477" spans="1:8" ht="47.25" x14ac:dyDescent="0.25">
      <c r="A477" s="45" t="s">
        <v>261</v>
      </c>
      <c r="B477" s="392" t="s">
        <v>1202</v>
      </c>
      <c r="C477" s="399" t="s">
        <v>264</v>
      </c>
      <c r="D477" s="399" t="s">
        <v>215</v>
      </c>
      <c r="E477" s="392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392" t="s">
        <v>1201</v>
      </c>
      <c r="C478" s="399" t="s">
        <v>299</v>
      </c>
      <c r="D478" s="73"/>
      <c r="E478" s="73"/>
      <c r="F478" s="2"/>
      <c r="G478" s="10">
        <f t="shared" ref="G478:H479" si="62">G479</f>
        <v>51840.479999999996</v>
      </c>
      <c r="H478" s="10">
        <f t="shared" si="62"/>
        <v>51840.479999999996</v>
      </c>
    </row>
    <row r="479" spans="1:8" ht="15.75" x14ac:dyDescent="0.25">
      <c r="A479" s="73" t="s">
        <v>300</v>
      </c>
      <c r="B479" s="392" t="s">
        <v>1201</v>
      </c>
      <c r="C479" s="399" t="s">
        <v>299</v>
      </c>
      <c r="D479" s="399" t="s">
        <v>118</v>
      </c>
      <c r="E479" s="73"/>
      <c r="F479" s="2"/>
      <c r="G479" s="10">
        <f t="shared" si="62"/>
        <v>51840.479999999996</v>
      </c>
      <c r="H479" s="10">
        <f t="shared" si="62"/>
        <v>51840.479999999996</v>
      </c>
    </row>
    <row r="480" spans="1:8" ht="31.5" x14ac:dyDescent="0.25">
      <c r="A480" s="396" t="s">
        <v>800</v>
      </c>
      <c r="B480" s="392" t="s">
        <v>1202</v>
      </c>
      <c r="C480" s="399" t="s">
        <v>299</v>
      </c>
      <c r="D480" s="399" t="s">
        <v>118</v>
      </c>
      <c r="E480" s="399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396" t="s">
        <v>127</v>
      </c>
      <c r="B481" s="392" t="s">
        <v>1202</v>
      </c>
      <c r="C481" s="399" t="s">
        <v>299</v>
      </c>
      <c r="D481" s="399" t="s">
        <v>118</v>
      </c>
      <c r="E481" s="399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396" t="s">
        <v>208</v>
      </c>
      <c r="B482" s="392" t="s">
        <v>1202</v>
      </c>
      <c r="C482" s="399" t="s">
        <v>299</v>
      </c>
      <c r="D482" s="399" t="s">
        <v>118</v>
      </c>
      <c r="E482" s="399" t="s">
        <v>209</v>
      </c>
      <c r="F482" s="2"/>
      <c r="G482" s="10">
        <f>'пр.6.1.ведом.22-23 (2)'!G363</f>
        <v>43271.28</v>
      </c>
      <c r="H482" s="10">
        <f>'пр.6.1.ведом.22-23 (2)'!H363</f>
        <v>43271.28</v>
      </c>
    </row>
    <row r="483" spans="1:8" ht="47.25" x14ac:dyDescent="0.25">
      <c r="A483" s="45" t="s">
        <v>261</v>
      </c>
      <c r="B483" s="392" t="s">
        <v>1202</v>
      </c>
      <c r="C483" s="399" t="s">
        <v>299</v>
      </c>
      <c r="D483" s="399" t="s">
        <v>118</v>
      </c>
      <c r="E483" s="399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396" t="s">
        <v>131</v>
      </c>
      <c r="B484" s="392" t="s">
        <v>1202</v>
      </c>
      <c r="C484" s="399" t="s">
        <v>299</v>
      </c>
      <c r="D484" s="399" t="s">
        <v>118</v>
      </c>
      <c r="E484" s="399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396" t="s">
        <v>133</v>
      </c>
      <c r="B485" s="392" t="s">
        <v>1202</v>
      </c>
      <c r="C485" s="399" t="s">
        <v>299</v>
      </c>
      <c r="D485" s="399" t="s">
        <v>118</v>
      </c>
      <c r="E485" s="399" t="s">
        <v>134</v>
      </c>
      <c r="F485" s="2"/>
      <c r="G485" s="10">
        <f>'пр.6.1.ведом.22-23 (2)'!G365</f>
        <v>8506.2000000000007</v>
      </c>
      <c r="H485" s="10">
        <f>'пр.6.1.ведом.22-23 (2)'!H365</f>
        <v>8506.2000000000007</v>
      </c>
    </row>
    <row r="486" spans="1:8" ht="47.25" x14ac:dyDescent="0.25">
      <c r="A486" s="45" t="s">
        <v>261</v>
      </c>
      <c r="B486" s="392" t="s">
        <v>1202</v>
      </c>
      <c r="C486" s="399" t="s">
        <v>299</v>
      </c>
      <c r="D486" s="399" t="s">
        <v>118</v>
      </c>
      <c r="E486" s="399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396" t="s">
        <v>135</v>
      </c>
      <c r="B487" s="392" t="s">
        <v>1202</v>
      </c>
      <c r="C487" s="399" t="s">
        <v>299</v>
      </c>
      <c r="D487" s="399" t="s">
        <v>118</v>
      </c>
      <c r="E487" s="399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396" t="s">
        <v>137</v>
      </c>
      <c r="B488" s="392" t="s">
        <v>1202</v>
      </c>
      <c r="C488" s="399" t="s">
        <v>299</v>
      </c>
      <c r="D488" s="399" t="s">
        <v>118</v>
      </c>
      <c r="E488" s="399" t="s">
        <v>138</v>
      </c>
      <c r="F488" s="2"/>
      <c r="G488" s="10">
        <f>'пр.6.1.ведом.22-23 (2)'!G367</f>
        <v>63</v>
      </c>
      <c r="H488" s="10">
        <f>'пр.6.1.ведом.22-23 (2)'!H367</f>
        <v>63</v>
      </c>
    </row>
    <row r="489" spans="1:8" ht="47.25" x14ac:dyDescent="0.25">
      <c r="A489" s="45" t="s">
        <v>261</v>
      </c>
      <c r="B489" s="392" t="s">
        <v>1202</v>
      </c>
      <c r="C489" s="399" t="s">
        <v>299</v>
      </c>
      <c r="D489" s="399" t="s">
        <v>118</v>
      </c>
      <c r="E489" s="399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ht="15.75" x14ac:dyDescent="0.25">
      <c r="A490" s="396" t="s">
        <v>582</v>
      </c>
      <c r="B490" s="392" t="s">
        <v>1201</v>
      </c>
      <c r="C490" s="399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ht="15.75" x14ac:dyDescent="0.25">
      <c r="A491" s="396" t="s">
        <v>583</v>
      </c>
      <c r="B491" s="392" t="s">
        <v>1201</v>
      </c>
      <c r="C491" s="399" t="s">
        <v>238</v>
      </c>
      <c r="D491" s="399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ht="31.5" x14ac:dyDescent="0.25">
      <c r="A492" s="396" t="s">
        <v>800</v>
      </c>
      <c r="B492" s="392" t="s">
        <v>1202</v>
      </c>
      <c r="C492" s="399" t="s">
        <v>238</v>
      </c>
      <c r="D492" s="399" t="s">
        <v>213</v>
      </c>
      <c r="E492" s="399"/>
      <c r="F492" s="2"/>
      <c r="G492" s="10">
        <f>G493+G496+G499</f>
        <v>5522.3</v>
      </c>
      <c r="H492" s="10">
        <f>H493+H496+H499</f>
        <v>5522.3</v>
      </c>
    </row>
    <row r="493" spans="1:8" ht="94.5" x14ac:dyDescent="0.25">
      <c r="A493" s="396" t="s">
        <v>127</v>
      </c>
      <c r="B493" s="392" t="s">
        <v>1202</v>
      </c>
      <c r="C493" s="399" t="s">
        <v>238</v>
      </c>
      <c r="D493" s="399" t="s">
        <v>213</v>
      </c>
      <c r="E493" s="399" t="s">
        <v>128</v>
      </c>
      <c r="F493" s="2"/>
      <c r="G493" s="10">
        <f>G494</f>
        <v>4897.2</v>
      </c>
      <c r="H493" s="10">
        <f>H494</f>
        <v>4897.2</v>
      </c>
    </row>
    <row r="494" spans="1:8" ht="31.5" x14ac:dyDescent="0.25">
      <c r="A494" s="396" t="s">
        <v>208</v>
      </c>
      <c r="B494" s="392" t="s">
        <v>1202</v>
      </c>
      <c r="C494" s="399" t="s">
        <v>238</v>
      </c>
      <c r="D494" s="399" t="s">
        <v>213</v>
      </c>
      <c r="E494" s="399" t="s">
        <v>209</v>
      </c>
      <c r="F494" s="2"/>
      <c r="G494" s="10">
        <f>'пр.6.1.ведом.22-23 (2)'!G474</f>
        <v>4897.2</v>
      </c>
      <c r="H494" s="10">
        <f>'пр.6.1.ведом.22-23 (2)'!H474</f>
        <v>4897.2</v>
      </c>
    </row>
    <row r="495" spans="1:8" ht="47.25" x14ac:dyDescent="0.25">
      <c r="A495" s="45" t="s">
        <v>261</v>
      </c>
      <c r="B495" s="392" t="s">
        <v>1202</v>
      </c>
      <c r="C495" s="399" t="s">
        <v>238</v>
      </c>
      <c r="D495" s="399" t="s">
        <v>213</v>
      </c>
      <c r="E495" s="399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ht="31.5" x14ac:dyDescent="0.25">
      <c r="A496" s="396" t="s">
        <v>131</v>
      </c>
      <c r="B496" s="392" t="s">
        <v>1202</v>
      </c>
      <c r="C496" s="399" t="s">
        <v>238</v>
      </c>
      <c r="D496" s="399" t="s">
        <v>213</v>
      </c>
      <c r="E496" s="399" t="s">
        <v>132</v>
      </c>
      <c r="F496" s="2"/>
      <c r="G496" s="10">
        <f>G497</f>
        <v>595.1</v>
      </c>
      <c r="H496" s="10">
        <f>H497</f>
        <v>595.1</v>
      </c>
    </row>
    <row r="497" spans="1:8" ht="47.25" x14ac:dyDescent="0.25">
      <c r="A497" s="396" t="s">
        <v>133</v>
      </c>
      <c r="B497" s="392" t="s">
        <v>1202</v>
      </c>
      <c r="C497" s="399" t="s">
        <v>238</v>
      </c>
      <c r="D497" s="399" t="s">
        <v>213</v>
      </c>
      <c r="E497" s="399" t="s">
        <v>134</v>
      </c>
      <c r="F497" s="2"/>
      <c r="G497" s="10">
        <f>'пр.6.1.ведом.22-23 (2)'!G476</f>
        <v>595.1</v>
      </c>
      <c r="H497" s="10">
        <f>'пр.6.1.ведом.22-23 (2)'!H476</f>
        <v>595.1</v>
      </c>
    </row>
    <row r="498" spans="1:8" ht="47.25" x14ac:dyDescent="0.25">
      <c r="A498" s="45" t="s">
        <v>261</v>
      </c>
      <c r="B498" s="392" t="s">
        <v>1202</v>
      </c>
      <c r="C498" s="399" t="s">
        <v>238</v>
      </c>
      <c r="D498" s="399" t="s">
        <v>213</v>
      </c>
      <c r="E498" s="399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ht="15.75" x14ac:dyDescent="0.25">
      <c r="A499" s="396" t="s">
        <v>135</v>
      </c>
      <c r="B499" s="392" t="s">
        <v>1202</v>
      </c>
      <c r="C499" s="399" t="s">
        <v>238</v>
      </c>
      <c r="D499" s="399" t="s">
        <v>213</v>
      </c>
      <c r="E499" s="399" t="s">
        <v>145</v>
      </c>
      <c r="F499" s="2"/>
      <c r="G499" s="10">
        <f>G500</f>
        <v>30</v>
      </c>
      <c r="H499" s="10">
        <f>H500</f>
        <v>30</v>
      </c>
    </row>
    <row r="500" spans="1:8" ht="15.75" x14ac:dyDescent="0.25">
      <c r="A500" s="396" t="s">
        <v>137</v>
      </c>
      <c r="B500" s="392" t="s">
        <v>1202</v>
      </c>
      <c r="C500" s="399" t="s">
        <v>238</v>
      </c>
      <c r="D500" s="399" t="s">
        <v>213</v>
      </c>
      <c r="E500" s="399" t="s">
        <v>138</v>
      </c>
      <c r="F500" s="2"/>
      <c r="G500" s="10">
        <f>'пр.6.1.ведом.22-23 (2)'!G478</f>
        <v>30</v>
      </c>
      <c r="H500" s="10">
        <f>'пр.6.1.ведом.22-23 (2)'!H478</f>
        <v>30</v>
      </c>
    </row>
    <row r="501" spans="1:8" ht="47.25" x14ac:dyDescent="0.25">
      <c r="A501" s="45" t="s">
        <v>261</v>
      </c>
      <c r="B501" s="392" t="s">
        <v>1202</v>
      </c>
      <c r="C501" s="399" t="s">
        <v>238</v>
      </c>
      <c r="D501" s="399" t="s">
        <v>213</v>
      </c>
      <c r="E501" s="399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01" t="s">
        <v>1324</v>
      </c>
      <c r="B502" s="395" t="s">
        <v>1203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ht="15.75" x14ac:dyDescent="0.25">
      <c r="A503" s="396" t="s">
        <v>263</v>
      </c>
      <c r="B503" s="392" t="s">
        <v>1203</v>
      </c>
      <c r="C503" s="399" t="s">
        <v>264</v>
      </c>
      <c r="D503" s="399"/>
      <c r="E503" s="399"/>
      <c r="F503" s="2"/>
      <c r="G503" s="10">
        <f t="shared" ref="G503:H506" si="63">G504</f>
        <v>1295</v>
      </c>
      <c r="H503" s="10">
        <f t="shared" si="63"/>
        <v>1295</v>
      </c>
    </row>
    <row r="504" spans="1:8" ht="15.75" x14ac:dyDescent="0.25">
      <c r="A504" s="396" t="s">
        <v>265</v>
      </c>
      <c r="B504" s="392" t="s">
        <v>1203</v>
      </c>
      <c r="C504" s="399" t="s">
        <v>264</v>
      </c>
      <c r="D504" s="399" t="s">
        <v>215</v>
      </c>
      <c r="E504" s="399"/>
      <c r="F504" s="2"/>
      <c r="G504" s="10">
        <f>G505+G509</f>
        <v>1295</v>
      </c>
      <c r="H504" s="10">
        <f>H505+H509</f>
        <v>1295</v>
      </c>
    </row>
    <row r="505" spans="1:8" ht="31.5" x14ac:dyDescent="0.25">
      <c r="A505" s="188" t="s">
        <v>799</v>
      </c>
      <c r="B505" s="392" t="s">
        <v>1204</v>
      </c>
      <c r="C505" s="399" t="s">
        <v>264</v>
      </c>
      <c r="D505" s="399" t="s">
        <v>215</v>
      </c>
      <c r="E505" s="392"/>
      <c r="F505" s="2"/>
      <c r="G505" s="10">
        <f t="shared" si="63"/>
        <v>45</v>
      </c>
      <c r="H505" s="10">
        <f t="shared" si="63"/>
        <v>45</v>
      </c>
    </row>
    <row r="506" spans="1:8" ht="31.5" x14ac:dyDescent="0.25">
      <c r="A506" s="396" t="s">
        <v>248</v>
      </c>
      <c r="B506" s="392" t="s">
        <v>1204</v>
      </c>
      <c r="C506" s="399" t="s">
        <v>264</v>
      </c>
      <c r="D506" s="399" t="s">
        <v>215</v>
      </c>
      <c r="E506" s="392" t="s">
        <v>249</v>
      </c>
      <c r="F506" s="2"/>
      <c r="G506" s="10">
        <f t="shared" si="63"/>
        <v>45</v>
      </c>
      <c r="H506" s="10">
        <f t="shared" si="63"/>
        <v>45</v>
      </c>
    </row>
    <row r="507" spans="1:8" ht="15.75" x14ac:dyDescent="0.25">
      <c r="A507" s="396" t="s">
        <v>819</v>
      </c>
      <c r="B507" s="392" t="s">
        <v>1204</v>
      </c>
      <c r="C507" s="399" t="s">
        <v>264</v>
      </c>
      <c r="D507" s="399" t="s">
        <v>215</v>
      </c>
      <c r="E507" s="392" t="s">
        <v>818</v>
      </c>
      <c r="F507" s="2"/>
      <c r="G507" s="10">
        <f>'пр.6.1.ведом.22-23 (2)'!G307</f>
        <v>45</v>
      </c>
      <c r="H507" s="10">
        <f>'пр.6.1.ведом.22-23 (2)'!H307</f>
        <v>45</v>
      </c>
    </row>
    <row r="508" spans="1:8" ht="47.25" x14ac:dyDescent="0.25">
      <c r="A508" s="45" t="s">
        <v>261</v>
      </c>
      <c r="B508" s="392" t="s">
        <v>1204</v>
      </c>
      <c r="C508" s="399" t="s">
        <v>264</v>
      </c>
      <c r="D508" s="399" t="s">
        <v>215</v>
      </c>
      <c r="E508" s="392" t="s">
        <v>818</v>
      </c>
      <c r="F508" s="2">
        <v>903</v>
      </c>
      <c r="G508" s="10">
        <f>G507</f>
        <v>45</v>
      </c>
      <c r="H508" s="10">
        <f>H507</f>
        <v>45</v>
      </c>
    </row>
    <row r="509" spans="1:8" ht="47.25" x14ac:dyDescent="0.25">
      <c r="A509" s="31" t="s">
        <v>815</v>
      </c>
      <c r="B509" s="392" t="s">
        <v>1205</v>
      </c>
      <c r="C509" s="399" t="s">
        <v>264</v>
      </c>
      <c r="D509" s="399" t="s">
        <v>215</v>
      </c>
      <c r="E509" s="392"/>
      <c r="F509" s="2"/>
      <c r="G509" s="10">
        <f>G510+G513</f>
        <v>1250</v>
      </c>
      <c r="H509" s="10">
        <f>H510+H513</f>
        <v>1250</v>
      </c>
    </row>
    <row r="510" spans="1:8" ht="94.5" x14ac:dyDescent="0.25">
      <c r="A510" s="396" t="s">
        <v>127</v>
      </c>
      <c r="B510" s="392" t="s">
        <v>1205</v>
      </c>
      <c r="C510" s="399" t="s">
        <v>264</v>
      </c>
      <c r="D510" s="399" t="s">
        <v>215</v>
      </c>
      <c r="E510" s="392" t="s">
        <v>128</v>
      </c>
      <c r="F510" s="2"/>
      <c r="G510" s="10">
        <f>G511</f>
        <v>1250</v>
      </c>
      <c r="H510" s="10">
        <f>H511</f>
        <v>1250</v>
      </c>
    </row>
    <row r="511" spans="1:8" ht="31.5" x14ac:dyDescent="0.25">
      <c r="A511" s="46" t="s">
        <v>342</v>
      </c>
      <c r="B511" s="392" t="s">
        <v>1205</v>
      </c>
      <c r="C511" s="399" t="s">
        <v>264</v>
      </c>
      <c r="D511" s="399" t="s">
        <v>215</v>
      </c>
      <c r="E511" s="392" t="s">
        <v>209</v>
      </c>
      <c r="F511" s="2"/>
      <c r="G511" s="10">
        <f>'пр.6.1.ведом.22-23 (2)'!G310</f>
        <v>1250</v>
      </c>
      <c r="H511" s="10">
        <f>'пр.6.1.ведом.22-23 (2)'!H310</f>
        <v>1250</v>
      </c>
    </row>
    <row r="512" spans="1:8" ht="47.25" x14ac:dyDescent="0.25">
      <c r="A512" s="45" t="s">
        <v>261</v>
      </c>
      <c r="B512" s="392" t="s">
        <v>1205</v>
      </c>
      <c r="C512" s="399" t="s">
        <v>264</v>
      </c>
      <c r="D512" s="399" t="s">
        <v>215</v>
      </c>
      <c r="E512" s="392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ht="31.5" hidden="1" x14ac:dyDescent="0.25">
      <c r="A513" s="396" t="s">
        <v>131</v>
      </c>
      <c r="B513" s="392" t="s">
        <v>1205</v>
      </c>
      <c r="C513" s="399" t="s">
        <v>264</v>
      </c>
      <c r="D513" s="399" t="s">
        <v>215</v>
      </c>
      <c r="E513" s="392" t="s">
        <v>132</v>
      </c>
      <c r="F513" s="2"/>
      <c r="G513" s="10">
        <f>G514</f>
        <v>0</v>
      </c>
      <c r="H513" s="10">
        <f>H514</f>
        <v>0</v>
      </c>
    </row>
    <row r="514" spans="1:8" ht="47.25" hidden="1" x14ac:dyDescent="0.25">
      <c r="A514" s="396" t="s">
        <v>133</v>
      </c>
      <c r="B514" s="392" t="s">
        <v>1205</v>
      </c>
      <c r="C514" s="399" t="s">
        <v>264</v>
      </c>
      <c r="D514" s="399" t="s">
        <v>215</v>
      </c>
      <c r="E514" s="392" t="s">
        <v>134</v>
      </c>
      <c r="F514" s="2"/>
      <c r="G514" s="10">
        <f>'пр.6.1.ведом.22-23 (2)'!G312</f>
        <v>0</v>
      </c>
      <c r="H514" s="10">
        <f>'пр.6.1.ведом.22-23 (2)'!H312</f>
        <v>0</v>
      </c>
    </row>
    <row r="515" spans="1:8" ht="47.25" hidden="1" x14ac:dyDescent="0.25">
      <c r="A515" s="45" t="s">
        <v>261</v>
      </c>
      <c r="B515" s="392" t="s">
        <v>1205</v>
      </c>
      <c r="C515" s="399" t="s">
        <v>264</v>
      </c>
      <c r="D515" s="399" t="s">
        <v>215</v>
      </c>
      <c r="E515" s="392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392" t="s">
        <v>1203</v>
      </c>
      <c r="C516" s="399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392" t="s">
        <v>1203</v>
      </c>
      <c r="C517" s="399" t="s">
        <v>299</v>
      </c>
      <c r="D517" s="399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65" customHeight="1" x14ac:dyDescent="0.25">
      <c r="A518" s="31" t="s">
        <v>815</v>
      </c>
      <c r="B518" s="392" t="s">
        <v>1205</v>
      </c>
      <c r="C518" s="399" t="s">
        <v>299</v>
      </c>
      <c r="D518" s="399" t="s">
        <v>118</v>
      </c>
      <c r="E518" s="399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396" t="s">
        <v>127</v>
      </c>
      <c r="B519" s="392" t="s">
        <v>1205</v>
      </c>
      <c r="C519" s="399" t="s">
        <v>299</v>
      </c>
      <c r="D519" s="399" t="s">
        <v>118</v>
      </c>
      <c r="E519" s="399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396" t="s">
        <v>208</v>
      </c>
      <c r="B520" s="392" t="s">
        <v>1205</v>
      </c>
      <c r="C520" s="399" t="s">
        <v>299</v>
      </c>
      <c r="D520" s="399" t="s">
        <v>118</v>
      </c>
      <c r="E520" s="399" t="s">
        <v>209</v>
      </c>
      <c r="F520" s="2"/>
      <c r="G520" s="10">
        <f>'пр.6.1.ведом.22-23 (2)'!G371</f>
        <v>0</v>
      </c>
      <c r="H520" s="10">
        <f>'пр.6.1.ведом.22-23 (2)'!H371</f>
        <v>0</v>
      </c>
    </row>
    <row r="521" spans="1:8" ht="47.25" hidden="1" x14ac:dyDescent="0.25">
      <c r="A521" s="45" t="s">
        <v>261</v>
      </c>
      <c r="B521" s="392" t="s">
        <v>1205</v>
      </c>
      <c r="C521" s="399" t="s">
        <v>299</v>
      </c>
      <c r="D521" s="399" t="s">
        <v>118</v>
      </c>
      <c r="E521" s="399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396" t="s">
        <v>131</v>
      </c>
      <c r="B522" s="392" t="s">
        <v>1205</v>
      </c>
      <c r="C522" s="399" t="s">
        <v>299</v>
      </c>
      <c r="D522" s="399" t="s">
        <v>118</v>
      </c>
      <c r="E522" s="399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396" t="s">
        <v>133</v>
      </c>
      <c r="B523" s="392" t="s">
        <v>1205</v>
      </c>
      <c r="C523" s="399" t="s">
        <v>299</v>
      </c>
      <c r="D523" s="399" t="s">
        <v>118</v>
      </c>
      <c r="E523" s="399" t="s">
        <v>134</v>
      </c>
      <c r="F523" s="2"/>
      <c r="G523" s="10">
        <f>'пр.6.1.ведом.22-23 (2)'!G373</f>
        <v>1380</v>
      </c>
      <c r="H523" s="10">
        <f>'пр.6.1.ведом.22-23 (2)'!H373</f>
        <v>1380</v>
      </c>
    </row>
    <row r="524" spans="1:8" ht="47.25" x14ac:dyDescent="0.25">
      <c r="A524" s="45" t="s">
        <v>261</v>
      </c>
      <c r="B524" s="392" t="s">
        <v>1205</v>
      </c>
      <c r="C524" s="399" t="s">
        <v>299</v>
      </c>
      <c r="D524" s="399" t="s">
        <v>118</v>
      </c>
      <c r="E524" s="399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394" t="s">
        <v>946</v>
      </c>
      <c r="B525" s="395" t="s">
        <v>1206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ht="15.75" x14ac:dyDescent="0.25">
      <c r="A526" s="396" t="s">
        <v>263</v>
      </c>
      <c r="B526" s="392" t="s">
        <v>1206</v>
      </c>
      <c r="C526" s="399" t="s">
        <v>264</v>
      </c>
      <c r="D526" s="399"/>
      <c r="E526" s="399"/>
      <c r="F526" s="2"/>
      <c r="G526" s="10">
        <f t="shared" ref="G526:H529" si="64">G527</f>
        <v>506</v>
      </c>
      <c r="H526" s="10">
        <f t="shared" si="64"/>
        <v>506</v>
      </c>
    </row>
    <row r="527" spans="1:8" ht="15.75" x14ac:dyDescent="0.25">
      <c r="A527" s="396" t="s">
        <v>265</v>
      </c>
      <c r="B527" s="392" t="s">
        <v>1206</v>
      </c>
      <c r="C527" s="399" t="s">
        <v>264</v>
      </c>
      <c r="D527" s="399" t="s">
        <v>215</v>
      </c>
      <c r="E527" s="399"/>
      <c r="F527" s="2"/>
      <c r="G527" s="10">
        <f t="shared" si="64"/>
        <v>506</v>
      </c>
      <c r="H527" s="10">
        <f t="shared" si="64"/>
        <v>506</v>
      </c>
    </row>
    <row r="528" spans="1:8" ht="47.25" x14ac:dyDescent="0.25">
      <c r="A528" s="396" t="s">
        <v>838</v>
      </c>
      <c r="B528" s="392" t="s">
        <v>1207</v>
      </c>
      <c r="C528" s="399" t="s">
        <v>264</v>
      </c>
      <c r="D528" s="399" t="s">
        <v>215</v>
      </c>
      <c r="E528" s="392"/>
      <c r="F528" s="2"/>
      <c r="G528" s="10">
        <f t="shared" si="64"/>
        <v>506</v>
      </c>
      <c r="H528" s="10">
        <f t="shared" si="64"/>
        <v>506</v>
      </c>
    </row>
    <row r="529" spans="1:8" ht="94.5" x14ac:dyDescent="0.25">
      <c r="A529" s="396" t="s">
        <v>127</v>
      </c>
      <c r="B529" s="392" t="s">
        <v>1207</v>
      </c>
      <c r="C529" s="399" t="s">
        <v>264</v>
      </c>
      <c r="D529" s="399" t="s">
        <v>215</v>
      </c>
      <c r="E529" s="392" t="s">
        <v>128</v>
      </c>
      <c r="F529" s="2"/>
      <c r="G529" s="10">
        <f t="shared" si="64"/>
        <v>506</v>
      </c>
      <c r="H529" s="10">
        <f t="shared" si="64"/>
        <v>506</v>
      </c>
    </row>
    <row r="530" spans="1:8" ht="31.5" x14ac:dyDescent="0.25">
      <c r="A530" s="396" t="s">
        <v>129</v>
      </c>
      <c r="B530" s="392" t="s">
        <v>1207</v>
      </c>
      <c r="C530" s="399" t="s">
        <v>264</v>
      </c>
      <c r="D530" s="399" t="s">
        <v>215</v>
      </c>
      <c r="E530" s="392" t="s">
        <v>209</v>
      </c>
      <c r="F530" s="2"/>
      <c r="G530" s="10">
        <f>'пр.6.1.ведом.22-23 (2)'!G316</f>
        <v>506</v>
      </c>
      <c r="H530" s="10">
        <f>'пр.6.1.ведом.22-23 (2)'!H316</f>
        <v>506</v>
      </c>
    </row>
    <row r="531" spans="1:8" ht="47.25" x14ac:dyDescent="0.25">
      <c r="A531" s="45" t="s">
        <v>261</v>
      </c>
      <c r="B531" s="392" t="s">
        <v>1207</v>
      </c>
      <c r="C531" s="399" t="s">
        <v>264</v>
      </c>
      <c r="D531" s="399" t="s">
        <v>215</v>
      </c>
      <c r="E531" s="392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392" t="s">
        <v>1206</v>
      </c>
      <c r="C532" s="399" t="s">
        <v>299</v>
      </c>
      <c r="D532" s="73"/>
      <c r="E532" s="73"/>
      <c r="F532" s="2"/>
      <c r="G532" s="10">
        <f t="shared" ref="G532:H535" si="65">G533</f>
        <v>875</v>
      </c>
      <c r="H532" s="10">
        <f t="shared" si="65"/>
        <v>875</v>
      </c>
    </row>
    <row r="533" spans="1:8" ht="15.75" x14ac:dyDescent="0.25">
      <c r="A533" s="73" t="s">
        <v>300</v>
      </c>
      <c r="B533" s="392" t="s">
        <v>1206</v>
      </c>
      <c r="C533" s="399" t="s">
        <v>299</v>
      </c>
      <c r="D533" s="399" t="s">
        <v>118</v>
      </c>
      <c r="E533" s="73"/>
      <c r="F533" s="2"/>
      <c r="G533" s="10">
        <f t="shared" si="65"/>
        <v>875</v>
      </c>
      <c r="H533" s="10">
        <f t="shared" si="65"/>
        <v>875</v>
      </c>
    </row>
    <row r="534" spans="1:8" ht="47.25" x14ac:dyDescent="0.25">
      <c r="A534" s="396" t="s">
        <v>838</v>
      </c>
      <c r="B534" s="392" t="s">
        <v>1207</v>
      </c>
      <c r="C534" s="399" t="s">
        <v>299</v>
      </c>
      <c r="D534" s="399" t="s">
        <v>118</v>
      </c>
      <c r="E534" s="399"/>
      <c r="F534" s="2"/>
      <c r="G534" s="10">
        <f t="shared" si="65"/>
        <v>875</v>
      </c>
      <c r="H534" s="10">
        <f t="shared" si="65"/>
        <v>875</v>
      </c>
    </row>
    <row r="535" spans="1:8" ht="94.5" x14ac:dyDescent="0.25">
      <c r="A535" s="396" t="s">
        <v>127</v>
      </c>
      <c r="B535" s="392" t="s">
        <v>1207</v>
      </c>
      <c r="C535" s="399" t="s">
        <v>299</v>
      </c>
      <c r="D535" s="399" t="s">
        <v>118</v>
      </c>
      <c r="E535" s="399" t="s">
        <v>128</v>
      </c>
      <c r="F535" s="2"/>
      <c r="G535" s="10">
        <f t="shared" si="65"/>
        <v>875</v>
      </c>
      <c r="H535" s="10">
        <f t="shared" si="65"/>
        <v>875</v>
      </c>
    </row>
    <row r="536" spans="1:8" ht="31.5" x14ac:dyDescent="0.25">
      <c r="A536" s="396" t="s">
        <v>129</v>
      </c>
      <c r="B536" s="392" t="s">
        <v>1207</v>
      </c>
      <c r="C536" s="399" t="s">
        <v>299</v>
      </c>
      <c r="D536" s="399" t="s">
        <v>118</v>
      </c>
      <c r="E536" s="399" t="s">
        <v>209</v>
      </c>
      <c r="F536" s="2"/>
      <c r="G536" s="10">
        <f>'пр.6.1.ведом.22-23 (2)'!G377</f>
        <v>875</v>
      </c>
      <c r="H536" s="10">
        <f>'пр.6.1.ведом.22-23 (2)'!H377</f>
        <v>875</v>
      </c>
    </row>
    <row r="537" spans="1:8" ht="47.25" x14ac:dyDescent="0.25">
      <c r="A537" s="45" t="s">
        <v>261</v>
      </c>
      <c r="B537" s="392" t="s">
        <v>1207</v>
      </c>
      <c r="C537" s="399" t="s">
        <v>299</v>
      </c>
      <c r="D537" s="399" t="s">
        <v>118</v>
      </c>
      <c r="E537" s="399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ht="15.75" x14ac:dyDescent="0.25">
      <c r="A538" s="68" t="s">
        <v>582</v>
      </c>
      <c r="B538" s="392" t="s">
        <v>1206</v>
      </c>
      <c r="C538" s="399" t="s">
        <v>238</v>
      </c>
      <c r="D538" s="73"/>
      <c r="E538" s="73"/>
      <c r="F538" s="2"/>
      <c r="G538" s="10">
        <f t="shared" ref="G538:H541" si="66">G539</f>
        <v>276</v>
      </c>
      <c r="H538" s="10">
        <f t="shared" si="66"/>
        <v>276</v>
      </c>
    </row>
    <row r="539" spans="1:8" ht="15.75" x14ac:dyDescent="0.25">
      <c r="A539" s="396" t="s">
        <v>583</v>
      </c>
      <c r="B539" s="392" t="s">
        <v>1206</v>
      </c>
      <c r="C539" s="399" t="s">
        <v>238</v>
      </c>
      <c r="D539" s="399" t="s">
        <v>213</v>
      </c>
      <c r="E539" s="73"/>
      <c r="F539" s="2"/>
      <c r="G539" s="10">
        <f t="shared" si="66"/>
        <v>276</v>
      </c>
      <c r="H539" s="10">
        <f t="shared" si="66"/>
        <v>276</v>
      </c>
    </row>
    <row r="540" spans="1:8" ht="47.25" x14ac:dyDescent="0.25">
      <c r="A540" s="396" t="s">
        <v>838</v>
      </c>
      <c r="B540" s="392" t="s">
        <v>1207</v>
      </c>
      <c r="C540" s="399" t="s">
        <v>238</v>
      </c>
      <c r="D540" s="399" t="s">
        <v>213</v>
      </c>
      <c r="E540" s="399"/>
      <c r="F540" s="2"/>
      <c r="G540" s="10">
        <f t="shared" si="66"/>
        <v>276</v>
      </c>
      <c r="H540" s="10">
        <f t="shared" si="66"/>
        <v>276</v>
      </c>
    </row>
    <row r="541" spans="1:8" ht="94.5" x14ac:dyDescent="0.25">
      <c r="A541" s="396" t="s">
        <v>127</v>
      </c>
      <c r="B541" s="392" t="s">
        <v>1207</v>
      </c>
      <c r="C541" s="399" t="s">
        <v>238</v>
      </c>
      <c r="D541" s="399" t="s">
        <v>213</v>
      </c>
      <c r="E541" s="399" t="s">
        <v>128</v>
      </c>
      <c r="F541" s="2"/>
      <c r="G541" s="10">
        <f t="shared" si="66"/>
        <v>276</v>
      </c>
      <c r="H541" s="10">
        <f t="shared" si="66"/>
        <v>276</v>
      </c>
    </row>
    <row r="542" spans="1:8" ht="31.5" x14ac:dyDescent="0.25">
      <c r="A542" s="396" t="s">
        <v>129</v>
      </c>
      <c r="B542" s="392" t="s">
        <v>1207</v>
      </c>
      <c r="C542" s="399" t="s">
        <v>238</v>
      </c>
      <c r="D542" s="399" t="s">
        <v>213</v>
      </c>
      <c r="E542" s="399" t="s">
        <v>209</v>
      </c>
      <c r="F542" s="2"/>
      <c r="G542" s="10">
        <f>'пр.6.1.ведом.22-23 (2)'!G482</f>
        <v>276</v>
      </c>
      <c r="H542" s="10">
        <f>'пр.6.1.ведом.22-23 (2)'!H482</f>
        <v>276</v>
      </c>
    </row>
    <row r="543" spans="1:8" ht="47.25" x14ac:dyDescent="0.25">
      <c r="A543" s="45" t="s">
        <v>261</v>
      </c>
      <c r="B543" s="392" t="s">
        <v>1207</v>
      </c>
      <c r="C543" s="399" t="s">
        <v>238</v>
      </c>
      <c r="D543" s="399" t="s">
        <v>213</v>
      </c>
      <c r="E543" s="399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02" t="s">
        <v>899</v>
      </c>
      <c r="B544" s="395" t="s">
        <v>1208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ht="15.75" x14ac:dyDescent="0.25">
      <c r="A545" s="396" t="s">
        <v>263</v>
      </c>
      <c r="B545" s="392" t="s">
        <v>1208</v>
      </c>
      <c r="C545" s="399" t="s">
        <v>264</v>
      </c>
      <c r="D545" s="399"/>
      <c r="E545" s="399"/>
      <c r="F545" s="2"/>
      <c r="G545" s="10">
        <f>G546</f>
        <v>1075.4000000000001</v>
      </c>
      <c r="H545" s="10">
        <f>H546</f>
        <v>1075.4000000000001</v>
      </c>
    </row>
    <row r="546" spans="1:8" ht="15.75" x14ac:dyDescent="0.25">
      <c r="A546" s="396" t="s">
        <v>265</v>
      </c>
      <c r="B546" s="392" t="s">
        <v>1208</v>
      </c>
      <c r="C546" s="399" t="s">
        <v>264</v>
      </c>
      <c r="D546" s="399" t="s">
        <v>215</v>
      </c>
      <c r="E546" s="399"/>
      <c r="F546" s="2"/>
      <c r="G546" s="10">
        <f>G551+G555+G547</f>
        <v>1075.4000000000001</v>
      </c>
      <c r="H546" s="10">
        <f>H551+H555+H547</f>
        <v>1075.4000000000001</v>
      </c>
    </row>
    <row r="547" spans="1:8" ht="110.25" x14ac:dyDescent="0.25">
      <c r="A547" s="31" t="s">
        <v>293</v>
      </c>
      <c r="B547" s="392" t="s">
        <v>1402</v>
      </c>
      <c r="C547" s="399" t="s">
        <v>264</v>
      </c>
      <c r="D547" s="399" t="s">
        <v>215</v>
      </c>
      <c r="E547" s="392"/>
      <c r="F547" s="2"/>
      <c r="G547" s="10">
        <f>G548</f>
        <v>671</v>
      </c>
      <c r="H547" s="10">
        <f>H548</f>
        <v>671</v>
      </c>
    </row>
    <row r="548" spans="1:8" ht="94.5" x14ac:dyDescent="0.25">
      <c r="A548" s="396" t="s">
        <v>127</v>
      </c>
      <c r="B548" s="392" t="s">
        <v>1402</v>
      </c>
      <c r="C548" s="399" t="s">
        <v>264</v>
      </c>
      <c r="D548" s="399" t="s">
        <v>215</v>
      </c>
      <c r="E548" s="392" t="s">
        <v>128</v>
      </c>
      <c r="F548" s="2"/>
      <c r="G548" s="10">
        <f>G549</f>
        <v>671</v>
      </c>
      <c r="H548" s="10">
        <f>H549</f>
        <v>671</v>
      </c>
    </row>
    <row r="549" spans="1:8" ht="31.5" x14ac:dyDescent="0.25">
      <c r="A549" s="46" t="s">
        <v>342</v>
      </c>
      <c r="B549" s="392" t="s">
        <v>1402</v>
      </c>
      <c r="C549" s="399" t="s">
        <v>264</v>
      </c>
      <c r="D549" s="399" t="s">
        <v>215</v>
      </c>
      <c r="E549" s="392" t="s">
        <v>209</v>
      </c>
      <c r="F549" s="2"/>
      <c r="G549" s="10">
        <f>'пр.6.1.ведом.22-23 (2)'!G320</f>
        <v>671</v>
      </c>
      <c r="H549" s="10">
        <f>'пр.6.1.ведом.22-23 (2)'!H320</f>
        <v>671</v>
      </c>
    </row>
    <row r="550" spans="1:8" ht="47.25" x14ac:dyDescent="0.25">
      <c r="A550" s="45" t="s">
        <v>261</v>
      </c>
      <c r="B550" s="392" t="s">
        <v>1402</v>
      </c>
      <c r="C550" s="399" t="s">
        <v>264</v>
      </c>
      <c r="D550" s="399" t="s">
        <v>215</v>
      </c>
      <c r="E550" s="392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ht="78.75" x14ac:dyDescent="0.25">
      <c r="A551" s="31" t="s">
        <v>289</v>
      </c>
      <c r="B551" s="392" t="s">
        <v>1209</v>
      </c>
      <c r="C551" s="399" t="s">
        <v>264</v>
      </c>
      <c r="D551" s="399" t="s">
        <v>215</v>
      </c>
      <c r="E551" s="392"/>
      <c r="F551" s="2"/>
      <c r="G551" s="10">
        <f>G552</f>
        <v>106</v>
      </c>
      <c r="H551" s="10">
        <f>H552</f>
        <v>106</v>
      </c>
    </row>
    <row r="552" spans="1:8" ht="94.5" x14ac:dyDescent="0.25">
      <c r="A552" s="396" t="s">
        <v>127</v>
      </c>
      <c r="B552" s="392" t="s">
        <v>1209</v>
      </c>
      <c r="C552" s="399" t="s">
        <v>264</v>
      </c>
      <c r="D552" s="399" t="s">
        <v>215</v>
      </c>
      <c r="E552" s="392" t="s">
        <v>128</v>
      </c>
      <c r="F552" s="2"/>
      <c r="G552" s="10">
        <f>G553</f>
        <v>106</v>
      </c>
      <c r="H552" s="10">
        <f>H553</f>
        <v>106</v>
      </c>
    </row>
    <row r="553" spans="1:8" ht="31.5" x14ac:dyDescent="0.25">
      <c r="A553" s="46" t="s">
        <v>342</v>
      </c>
      <c r="B553" s="392" t="s">
        <v>1209</v>
      </c>
      <c r="C553" s="399" t="s">
        <v>264</v>
      </c>
      <c r="D553" s="399" t="s">
        <v>215</v>
      </c>
      <c r="E553" s="392" t="s">
        <v>209</v>
      </c>
      <c r="F553" s="2"/>
      <c r="G553" s="10">
        <f>'пр.6.1.ведом.22-23 (2)'!G323</f>
        <v>106</v>
      </c>
      <c r="H553" s="10">
        <f>'пр.6.1.ведом.22-23 (2)'!H323</f>
        <v>106</v>
      </c>
    </row>
    <row r="554" spans="1:8" ht="47.25" x14ac:dyDescent="0.25">
      <c r="A554" s="45" t="s">
        <v>261</v>
      </c>
      <c r="B554" s="392" t="s">
        <v>1209</v>
      </c>
      <c r="C554" s="399" t="s">
        <v>264</v>
      </c>
      <c r="D554" s="399" t="s">
        <v>215</v>
      </c>
      <c r="E554" s="392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ht="94.5" x14ac:dyDescent="0.25">
      <c r="A555" s="31" t="s">
        <v>291</v>
      </c>
      <c r="B555" s="392" t="s">
        <v>1210</v>
      </c>
      <c r="C555" s="399" t="s">
        <v>264</v>
      </c>
      <c r="D555" s="399" t="s">
        <v>215</v>
      </c>
      <c r="E555" s="392"/>
      <c r="F555" s="2"/>
      <c r="G555" s="10">
        <f>G556</f>
        <v>298.39999999999998</v>
      </c>
      <c r="H555" s="10">
        <f>H556</f>
        <v>298.39999999999998</v>
      </c>
    </row>
    <row r="556" spans="1:8" ht="94.5" x14ac:dyDescent="0.25">
      <c r="A556" s="396" t="s">
        <v>127</v>
      </c>
      <c r="B556" s="392" t="s">
        <v>1210</v>
      </c>
      <c r="C556" s="399" t="s">
        <v>264</v>
      </c>
      <c r="D556" s="399" t="s">
        <v>215</v>
      </c>
      <c r="E556" s="392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ht="31.5" x14ac:dyDescent="0.25">
      <c r="A557" s="46" t="s">
        <v>342</v>
      </c>
      <c r="B557" s="392" t="s">
        <v>1210</v>
      </c>
      <c r="C557" s="399" t="s">
        <v>264</v>
      </c>
      <c r="D557" s="399" t="s">
        <v>215</v>
      </c>
      <c r="E557" s="392" t="s">
        <v>209</v>
      </c>
      <c r="F557" s="2"/>
      <c r="G557" s="10">
        <f>'пр.6.1.ведом.22-23 (2)'!G326</f>
        <v>298.39999999999998</v>
      </c>
      <c r="H557" s="10">
        <f>'пр.6.1.ведом.22-23 (2)'!H326</f>
        <v>298.39999999999998</v>
      </c>
    </row>
    <row r="558" spans="1:8" ht="47.25" x14ac:dyDescent="0.25">
      <c r="A558" s="45" t="s">
        <v>261</v>
      </c>
      <c r="B558" s="392" t="s">
        <v>1210</v>
      </c>
      <c r="C558" s="399" t="s">
        <v>264</v>
      </c>
      <c r="D558" s="399" t="s">
        <v>215</v>
      </c>
      <c r="E558" s="392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392" t="s">
        <v>1208</v>
      </c>
      <c r="C559" s="399" t="s">
        <v>299</v>
      </c>
      <c r="D559" s="73"/>
      <c r="E559" s="73"/>
      <c r="F559" s="2"/>
      <c r="G559" s="10">
        <f t="shared" ref="G559:H559" si="67">G560</f>
        <v>2442</v>
      </c>
      <c r="H559" s="10">
        <f t="shared" si="67"/>
        <v>2442</v>
      </c>
    </row>
    <row r="560" spans="1:8" ht="15.75" x14ac:dyDescent="0.25">
      <c r="A560" s="73" t="s">
        <v>300</v>
      </c>
      <c r="B560" s="392" t="s">
        <v>1208</v>
      </c>
      <c r="C560" s="399" t="s">
        <v>299</v>
      </c>
      <c r="D560" s="399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ht="110.25" x14ac:dyDescent="0.25">
      <c r="A561" s="31" t="s">
        <v>293</v>
      </c>
      <c r="B561" s="392" t="s">
        <v>1402</v>
      </c>
      <c r="C561" s="399" t="s">
        <v>299</v>
      </c>
      <c r="D561" s="399" t="s">
        <v>118</v>
      </c>
      <c r="E561" s="399"/>
      <c r="F561" s="2"/>
      <c r="G561" s="10">
        <f>G562</f>
        <v>2100.6</v>
      </c>
      <c r="H561" s="10">
        <f>H562</f>
        <v>2100.6</v>
      </c>
    </row>
    <row r="562" spans="1:8" ht="94.5" x14ac:dyDescent="0.25">
      <c r="A562" s="396" t="s">
        <v>127</v>
      </c>
      <c r="B562" s="392" t="s">
        <v>1402</v>
      </c>
      <c r="C562" s="399" t="s">
        <v>299</v>
      </c>
      <c r="D562" s="399" t="s">
        <v>118</v>
      </c>
      <c r="E562" s="399" t="s">
        <v>128</v>
      </c>
      <c r="F562" s="2"/>
      <c r="G562" s="10">
        <f>G563</f>
        <v>2100.6</v>
      </c>
      <c r="H562" s="10">
        <f>H563</f>
        <v>2100.6</v>
      </c>
    </row>
    <row r="563" spans="1:8" ht="31.5" x14ac:dyDescent="0.25">
      <c r="A563" s="396" t="s">
        <v>208</v>
      </c>
      <c r="B563" s="392" t="s">
        <v>1402</v>
      </c>
      <c r="C563" s="399" t="s">
        <v>299</v>
      </c>
      <c r="D563" s="399" t="s">
        <v>118</v>
      </c>
      <c r="E563" s="399" t="s">
        <v>209</v>
      </c>
      <c r="F563" s="2"/>
      <c r="G563" s="10">
        <f>'пр.6.1.ведом.22-23 (2)'!G381</f>
        <v>2100.6</v>
      </c>
      <c r="H563" s="10">
        <f>'пр.6.1.ведом.22-23 (2)'!H381</f>
        <v>2100.6</v>
      </c>
    </row>
    <row r="564" spans="1:8" ht="47.25" x14ac:dyDescent="0.25">
      <c r="A564" s="45" t="s">
        <v>261</v>
      </c>
      <c r="B564" s="392" t="s">
        <v>1402</v>
      </c>
      <c r="C564" s="399" t="s">
        <v>299</v>
      </c>
      <c r="D564" s="399" t="s">
        <v>118</v>
      </c>
      <c r="E564" s="399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ht="94.5" x14ac:dyDescent="0.25">
      <c r="A565" s="396" t="s">
        <v>331</v>
      </c>
      <c r="B565" s="392" t="s">
        <v>1289</v>
      </c>
      <c r="C565" s="392" t="s">
        <v>299</v>
      </c>
      <c r="D565" s="392" t="s">
        <v>118</v>
      </c>
      <c r="E565" s="392"/>
      <c r="F565" s="392"/>
      <c r="G565" s="10">
        <f>G566</f>
        <v>341.4</v>
      </c>
      <c r="H565" s="10">
        <f>H566</f>
        <v>341.4</v>
      </c>
    </row>
    <row r="566" spans="1:8" ht="94.5" x14ac:dyDescent="0.25">
      <c r="A566" s="396" t="s">
        <v>127</v>
      </c>
      <c r="B566" s="392" t="s">
        <v>1289</v>
      </c>
      <c r="C566" s="392" t="s">
        <v>299</v>
      </c>
      <c r="D566" s="392" t="s">
        <v>118</v>
      </c>
      <c r="E566" s="392" t="s">
        <v>128</v>
      </c>
      <c r="F566" s="392"/>
      <c r="G566" s="10">
        <f>G567</f>
        <v>341.4</v>
      </c>
      <c r="H566" s="10">
        <f>H567</f>
        <v>341.4</v>
      </c>
    </row>
    <row r="567" spans="1:8" ht="31.5" x14ac:dyDescent="0.25">
      <c r="A567" s="396" t="s">
        <v>208</v>
      </c>
      <c r="B567" s="392" t="s">
        <v>1289</v>
      </c>
      <c r="C567" s="392" t="s">
        <v>299</v>
      </c>
      <c r="D567" s="392" t="s">
        <v>118</v>
      </c>
      <c r="E567" s="392" t="s">
        <v>209</v>
      </c>
      <c r="F567" s="392"/>
      <c r="G567" s="10">
        <f>'пр.6.1.ведом.22-23 (2)'!G384</f>
        <v>341.4</v>
      </c>
      <c r="H567" s="10">
        <f>'пр.6.1.ведом.22-23 (2)'!H384</f>
        <v>341.4</v>
      </c>
    </row>
    <row r="568" spans="1:8" ht="47.25" x14ac:dyDescent="0.25">
      <c r="A568" s="45" t="s">
        <v>261</v>
      </c>
      <c r="B568" s="392" t="s">
        <v>1289</v>
      </c>
      <c r="C568" s="392" t="s">
        <v>299</v>
      </c>
      <c r="D568" s="392" t="s">
        <v>118</v>
      </c>
      <c r="E568" s="392" t="s">
        <v>209</v>
      </c>
      <c r="F568" s="392" t="s">
        <v>627</v>
      </c>
      <c r="G568" s="10">
        <f>G567</f>
        <v>341.4</v>
      </c>
      <c r="H568" s="10">
        <f>H567</f>
        <v>341.4</v>
      </c>
    </row>
    <row r="569" spans="1:8" ht="47.25" x14ac:dyDescent="0.25">
      <c r="A569" s="394" t="s">
        <v>901</v>
      </c>
      <c r="B569" s="395" t="s">
        <v>1213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ht="15.75" x14ac:dyDescent="0.25">
      <c r="A570" s="73" t="s">
        <v>298</v>
      </c>
      <c r="B570" s="392" t="s">
        <v>1213</v>
      </c>
      <c r="C570" s="399" t="s">
        <v>299</v>
      </c>
      <c r="D570" s="399"/>
      <c r="E570" s="399"/>
      <c r="F570" s="74"/>
      <c r="G570" s="10">
        <f t="shared" ref="G570:H573" si="68">G571</f>
        <v>50</v>
      </c>
      <c r="H570" s="10">
        <f t="shared" si="68"/>
        <v>50</v>
      </c>
    </row>
    <row r="571" spans="1:8" ht="15.75" x14ac:dyDescent="0.25">
      <c r="A571" s="73" t="s">
        <v>300</v>
      </c>
      <c r="B571" s="392" t="s">
        <v>1213</v>
      </c>
      <c r="C571" s="399" t="s">
        <v>299</v>
      </c>
      <c r="D571" s="399" t="s">
        <v>118</v>
      </c>
      <c r="E571" s="399"/>
      <c r="F571" s="74"/>
      <c r="G571" s="10">
        <f t="shared" si="68"/>
        <v>50</v>
      </c>
      <c r="H571" s="10">
        <f t="shared" si="68"/>
        <v>50</v>
      </c>
    </row>
    <row r="572" spans="1:8" ht="31.5" x14ac:dyDescent="0.25">
      <c r="A572" s="396" t="s">
        <v>820</v>
      </c>
      <c r="B572" s="392" t="s">
        <v>1214</v>
      </c>
      <c r="C572" s="399" t="s">
        <v>299</v>
      </c>
      <c r="D572" s="399" t="s">
        <v>118</v>
      </c>
      <c r="E572" s="399"/>
      <c r="F572" s="2"/>
      <c r="G572" s="10">
        <f t="shared" si="68"/>
        <v>50</v>
      </c>
      <c r="H572" s="10">
        <f t="shared" si="68"/>
        <v>50</v>
      </c>
    </row>
    <row r="573" spans="1:8" ht="31.5" x14ac:dyDescent="0.25">
      <c r="A573" s="396" t="s">
        <v>131</v>
      </c>
      <c r="B573" s="392" t="s">
        <v>1214</v>
      </c>
      <c r="C573" s="399" t="s">
        <v>299</v>
      </c>
      <c r="D573" s="399" t="s">
        <v>118</v>
      </c>
      <c r="E573" s="399" t="s">
        <v>132</v>
      </c>
      <c r="F573" s="2"/>
      <c r="G573" s="10">
        <f t="shared" si="68"/>
        <v>50</v>
      </c>
      <c r="H573" s="10">
        <f t="shared" si="68"/>
        <v>50</v>
      </c>
    </row>
    <row r="574" spans="1:8" ht="47.25" x14ac:dyDescent="0.25">
      <c r="A574" s="396" t="s">
        <v>133</v>
      </c>
      <c r="B574" s="392" t="s">
        <v>1214</v>
      </c>
      <c r="C574" s="399" t="s">
        <v>299</v>
      </c>
      <c r="D574" s="399" t="s">
        <v>118</v>
      </c>
      <c r="E574" s="399" t="s">
        <v>134</v>
      </c>
      <c r="F574" s="2"/>
      <c r="G574" s="10">
        <f>'пр.6.1.ведом.22-23 (2)'!G388</f>
        <v>50</v>
      </c>
      <c r="H574" s="10">
        <f>'пр.6.1.ведом.22-23 (2)'!H388</f>
        <v>50</v>
      </c>
    </row>
    <row r="575" spans="1:8" ht="47.25" x14ac:dyDescent="0.25">
      <c r="A575" s="45" t="s">
        <v>261</v>
      </c>
      <c r="B575" s="392" t="s">
        <v>1214</v>
      </c>
      <c r="C575" s="399" t="s">
        <v>299</v>
      </c>
      <c r="D575" s="399" t="s">
        <v>118</v>
      </c>
      <c r="E575" s="399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ht="31.5" x14ac:dyDescent="0.25">
      <c r="A576" s="394" t="s">
        <v>1009</v>
      </c>
      <c r="B576" s="395" t="s">
        <v>1215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ht="15.75" x14ac:dyDescent="0.25">
      <c r="A577" s="68" t="s">
        <v>298</v>
      </c>
      <c r="B577" s="392" t="s">
        <v>1215</v>
      </c>
      <c r="C577" s="399" t="s">
        <v>299</v>
      </c>
      <c r="D577" s="399"/>
      <c r="E577" s="399"/>
      <c r="F577" s="74"/>
      <c r="G577" s="10">
        <f t="shared" ref="G577:H580" si="69">G578</f>
        <v>68.7</v>
      </c>
      <c r="H577" s="10">
        <f t="shared" si="69"/>
        <v>68.7</v>
      </c>
    </row>
    <row r="578" spans="1:8" ht="15.75" x14ac:dyDescent="0.25">
      <c r="A578" s="68" t="s">
        <v>300</v>
      </c>
      <c r="B578" s="392" t="s">
        <v>1215</v>
      </c>
      <c r="C578" s="399" t="s">
        <v>299</v>
      </c>
      <c r="D578" s="399" t="s">
        <v>118</v>
      </c>
      <c r="E578" s="399"/>
      <c r="F578" s="74"/>
      <c r="G578" s="10">
        <f t="shared" si="69"/>
        <v>68.7</v>
      </c>
      <c r="H578" s="10">
        <f t="shared" si="69"/>
        <v>68.7</v>
      </c>
    </row>
    <row r="579" spans="1:8" ht="47.25" x14ac:dyDescent="0.25">
      <c r="A579" s="396" t="s">
        <v>1465</v>
      </c>
      <c r="B579" s="392" t="s">
        <v>1216</v>
      </c>
      <c r="C579" s="399" t="s">
        <v>299</v>
      </c>
      <c r="D579" s="399" t="s">
        <v>118</v>
      </c>
      <c r="E579" s="399"/>
      <c r="F579" s="2"/>
      <c r="G579" s="10">
        <f t="shared" si="69"/>
        <v>68.7</v>
      </c>
      <c r="H579" s="10">
        <f t="shared" si="69"/>
        <v>68.7</v>
      </c>
    </row>
    <row r="580" spans="1:8" ht="31.5" x14ac:dyDescent="0.25">
      <c r="A580" s="396" t="s">
        <v>131</v>
      </c>
      <c r="B580" s="392" t="s">
        <v>1216</v>
      </c>
      <c r="C580" s="399" t="s">
        <v>299</v>
      </c>
      <c r="D580" s="399" t="s">
        <v>118</v>
      </c>
      <c r="E580" s="399" t="s">
        <v>132</v>
      </c>
      <c r="F580" s="2"/>
      <c r="G580" s="10">
        <f t="shared" si="69"/>
        <v>68.7</v>
      </c>
      <c r="H580" s="10">
        <f t="shared" si="69"/>
        <v>68.7</v>
      </c>
    </row>
    <row r="581" spans="1:8" ht="47.25" x14ac:dyDescent="0.25">
      <c r="A581" s="396" t="s">
        <v>133</v>
      </c>
      <c r="B581" s="392" t="s">
        <v>1216</v>
      </c>
      <c r="C581" s="399" t="s">
        <v>299</v>
      </c>
      <c r="D581" s="399" t="s">
        <v>118</v>
      </c>
      <c r="E581" s="399" t="s">
        <v>134</v>
      </c>
      <c r="F581" s="2"/>
      <c r="G581" s="10">
        <f>'пр.6.1.ведом.22-23 (2)'!G392</f>
        <v>68.7</v>
      </c>
      <c r="H581" s="10">
        <f>'пр.6.1.ведом.22-23 (2)'!H392</f>
        <v>68.7</v>
      </c>
    </row>
    <row r="582" spans="1:8" ht="47.25" x14ac:dyDescent="0.25">
      <c r="A582" s="45" t="s">
        <v>261</v>
      </c>
      <c r="B582" s="392" t="s">
        <v>1216</v>
      </c>
      <c r="C582" s="399" t="s">
        <v>299</v>
      </c>
      <c r="D582" s="399" t="s">
        <v>118</v>
      </c>
      <c r="E582" s="399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ht="36" customHeight="1" x14ac:dyDescent="0.25">
      <c r="A583" s="240" t="s">
        <v>1177</v>
      </c>
      <c r="B583" s="395" t="s">
        <v>1211</v>
      </c>
      <c r="C583" s="399"/>
      <c r="D583" s="73"/>
      <c r="E583" s="73"/>
      <c r="F583" s="2"/>
      <c r="G583" s="59">
        <f t="shared" ref="G583:H587" si="70">G584</f>
        <v>300</v>
      </c>
      <c r="H583" s="59">
        <f t="shared" si="70"/>
        <v>1500</v>
      </c>
    </row>
    <row r="584" spans="1:8" ht="15.75" x14ac:dyDescent="0.25">
      <c r="A584" s="68" t="s">
        <v>298</v>
      </c>
      <c r="B584" s="392" t="s">
        <v>1211</v>
      </c>
      <c r="C584" s="399" t="s">
        <v>299</v>
      </c>
      <c r="D584" s="73"/>
      <c r="E584" s="73"/>
      <c r="F584" s="2"/>
      <c r="G584" s="10">
        <f t="shared" si="70"/>
        <v>300</v>
      </c>
      <c r="H584" s="10">
        <f t="shared" si="70"/>
        <v>1500</v>
      </c>
    </row>
    <row r="585" spans="1:8" ht="15.75" x14ac:dyDescent="0.25">
      <c r="A585" s="68" t="s">
        <v>300</v>
      </c>
      <c r="B585" s="392" t="s">
        <v>1211</v>
      </c>
      <c r="C585" s="399" t="s">
        <v>299</v>
      </c>
      <c r="D585" s="399" t="s">
        <v>118</v>
      </c>
      <c r="E585" s="73"/>
      <c r="F585" s="2"/>
      <c r="G585" s="10">
        <f t="shared" si="70"/>
        <v>300</v>
      </c>
      <c r="H585" s="10">
        <f t="shared" si="70"/>
        <v>1500</v>
      </c>
    </row>
    <row r="586" spans="1:8" ht="31.5" x14ac:dyDescent="0.25">
      <c r="A586" s="98" t="s">
        <v>1184</v>
      </c>
      <c r="B586" s="392" t="s">
        <v>1212</v>
      </c>
      <c r="C586" s="399" t="s">
        <v>299</v>
      </c>
      <c r="D586" s="399" t="s">
        <v>118</v>
      </c>
      <c r="E586" s="399"/>
      <c r="F586" s="2"/>
      <c r="G586" s="10">
        <f t="shared" si="70"/>
        <v>300</v>
      </c>
      <c r="H586" s="10">
        <f t="shared" si="70"/>
        <v>1500</v>
      </c>
    </row>
    <row r="587" spans="1:8" ht="31.5" x14ac:dyDescent="0.25">
      <c r="A587" s="396" t="s">
        <v>131</v>
      </c>
      <c r="B587" s="392" t="s">
        <v>1212</v>
      </c>
      <c r="C587" s="399" t="s">
        <v>299</v>
      </c>
      <c r="D587" s="399" t="s">
        <v>118</v>
      </c>
      <c r="E587" s="399" t="s">
        <v>132</v>
      </c>
      <c r="F587" s="2"/>
      <c r="G587" s="10">
        <f t="shared" si="70"/>
        <v>300</v>
      </c>
      <c r="H587" s="10">
        <f t="shared" si="70"/>
        <v>1500</v>
      </c>
    </row>
    <row r="588" spans="1:8" ht="47.25" x14ac:dyDescent="0.25">
      <c r="A588" s="396" t="s">
        <v>133</v>
      </c>
      <c r="B588" s="392" t="s">
        <v>1212</v>
      </c>
      <c r="C588" s="399" t="s">
        <v>299</v>
      </c>
      <c r="D588" s="399" t="s">
        <v>118</v>
      </c>
      <c r="E588" s="399" t="s">
        <v>134</v>
      </c>
      <c r="F588" s="2"/>
      <c r="G588" s="10">
        <f>'пр.6.1.ведом.22-23 (2)'!G396</f>
        <v>300</v>
      </c>
      <c r="H588" s="10">
        <f>'пр.6.1.ведом.22-23 (2)'!H396</f>
        <v>1500</v>
      </c>
    </row>
    <row r="589" spans="1:8" ht="47.25" x14ac:dyDescent="0.25">
      <c r="A589" s="45" t="s">
        <v>261</v>
      </c>
      <c r="B589" s="392" t="s">
        <v>1212</v>
      </c>
      <c r="C589" s="399" t="s">
        <v>299</v>
      </c>
      <c r="D589" s="399" t="s">
        <v>118</v>
      </c>
      <c r="E589" s="399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53" t="s">
        <v>1217</v>
      </c>
      <c r="B590" s="254"/>
      <c r="C590" s="392"/>
      <c r="D590" s="392"/>
      <c r="E590" s="399"/>
      <c r="F590" s="2"/>
      <c r="G590" s="59">
        <f t="shared" ref="G590:H594" si="71">G591</f>
        <v>0</v>
      </c>
      <c r="H590" s="59">
        <f t="shared" si="71"/>
        <v>0</v>
      </c>
    </row>
    <row r="591" spans="1:8" ht="15.75" hidden="1" x14ac:dyDescent="0.25">
      <c r="A591" s="68" t="s">
        <v>298</v>
      </c>
      <c r="B591" s="254"/>
      <c r="C591" s="392" t="s">
        <v>299</v>
      </c>
      <c r="D591" s="392"/>
      <c r="E591" s="399"/>
      <c r="F591" s="2"/>
      <c r="G591" s="10">
        <f t="shared" si="71"/>
        <v>0</v>
      </c>
      <c r="H591" s="10">
        <f t="shared" si="71"/>
        <v>0</v>
      </c>
    </row>
    <row r="592" spans="1:8" ht="15.75" hidden="1" x14ac:dyDescent="0.25">
      <c r="A592" s="68" t="s">
        <v>300</v>
      </c>
      <c r="B592" s="254"/>
      <c r="C592" s="392" t="s">
        <v>299</v>
      </c>
      <c r="D592" s="392" t="s">
        <v>118</v>
      </c>
      <c r="E592" s="399"/>
      <c r="F592" s="2"/>
      <c r="G592" s="10">
        <f t="shared" si="71"/>
        <v>0</v>
      </c>
      <c r="H592" s="10">
        <f t="shared" si="71"/>
        <v>0</v>
      </c>
    </row>
    <row r="593" spans="1:8" ht="15.75" hidden="1" x14ac:dyDescent="0.25">
      <c r="A593" s="262"/>
      <c r="B593" s="254"/>
      <c r="C593" s="392" t="s">
        <v>299</v>
      </c>
      <c r="D593" s="392" t="s">
        <v>118</v>
      </c>
      <c r="E593" s="399"/>
      <c r="F593" s="2"/>
      <c r="G593" s="10">
        <f t="shared" si="71"/>
        <v>0</v>
      </c>
      <c r="H593" s="10">
        <f t="shared" si="71"/>
        <v>0</v>
      </c>
    </row>
    <row r="594" spans="1:8" ht="31.5" hidden="1" x14ac:dyDescent="0.25">
      <c r="A594" s="396" t="s">
        <v>131</v>
      </c>
      <c r="B594" s="254"/>
      <c r="C594" s="392" t="s">
        <v>299</v>
      </c>
      <c r="D594" s="392" t="s">
        <v>118</v>
      </c>
      <c r="E594" s="399" t="s">
        <v>132</v>
      </c>
      <c r="F594" s="2"/>
      <c r="G594" s="10">
        <f t="shared" si="71"/>
        <v>0</v>
      </c>
      <c r="H594" s="10">
        <f t="shared" si="71"/>
        <v>0</v>
      </c>
    </row>
    <row r="595" spans="1:8" ht="47.25" hidden="1" x14ac:dyDescent="0.25">
      <c r="A595" s="396" t="s">
        <v>133</v>
      </c>
      <c r="B595" s="254"/>
      <c r="C595" s="392" t="s">
        <v>299</v>
      </c>
      <c r="D595" s="392" t="s">
        <v>118</v>
      </c>
      <c r="E595" s="399" t="s">
        <v>134</v>
      </c>
      <c r="F595" s="2"/>
      <c r="G595" s="10">
        <f>'пр.6.1.ведом.22-23 (2)'!G400</f>
        <v>0</v>
      </c>
      <c r="H595" s="10">
        <f>'пр.6.1.ведом.22-23 (2)'!H400</f>
        <v>0</v>
      </c>
    </row>
    <row r="596" spans="1:8" ht="47.25" hidden="1" x14ac:dyDescent="0.25">
      <c r="A596" s="45" t="s">
        <v>1313</v>
      </c>
      <c r="B596" s="254"/>
      <c r="C596" s="392" t="s">
        <v>299</v>
      </c>
      <c r="D596" s="392" t="s">
        <v>118</v>
      </c>
      <c r="E596" s="399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00" t="s">
        <v>1356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1024</v>
      </c>
      <c r="B598" s="7" t="s">
        <v>933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ht="15.75" x14ac:dyDescent="0.25">
      <c r="A599" s="31" t="s">
        <v>117</v>
      </c>
      <c r="B599" s="399" t="s">
        <v>933</v>
      </c>
      <c r="C599" s="399" t="s">
        <v>118</v>
      </c>
      <c r="D599" s="399"/>
      <c r="E599" s="72"/>
      <c r="F599" s="72"/>
      <c r="G599" s="10">
        <f t="shared" ref="G599:H602" si="72">G600</f>
        <v>12</v>
      </c>
      <c r="H599" s="10">
        <f t="shared" si="72"/>
        <v>40</v>
      </c>
    </row>
    <row r="600" spans="1:8" ht="15.75" x14ac:dyDescent="0.25">
      <c r="A600" s="31" t="s">
        <v>139</v>
      </c>
      <c r="B600" s="399" t="s">
        <v>933</v>
      </c>
      <c r="C600" s="399" t="s">
        <v>118</v>
      </c>
      <c r="D600" s="399" t="s">
        <v>140</v>
      </c>
      <c r="E600" s="72"/>
      <c r="F600" s="72"/>
      <c r="G600" s="10">
        <f t="shared" si="72"/>
        <v>12</v>
      </c>
      <c r="H600" s="10">
        <f t="shared" si="72"/>
        <v>40</v>
      </c>
    </row>
    <row r="601" spans="1:8" ht="47.25" x14ac:dyDescent="0.25">
      <c r="A601" s="31" t="s">
        <v>1081</v>
      </c>
      <c r="B601" s="392" t="s">
        <v>1025</v>
      </c>
      <c r="C601" s="399" t="s">
        <v>118</v>
      </c>
      <c r="D601" s="399" t="s">
        <v>140</v>
      </c>
      <c r="E601" s="72"/>
      <c r="F601" s="72"/>
      <c r="G601" s="10">
        <f t="shared" si="72"/>
        <v>12</v>
      </c>
      <c r="H601" s="10">
        <f t="shared" si="72"/>
        <v>40</v>
      </c>
    </row>
    <row r="602" spans="1:8" ht="31.5" x14ac:dyDescent="0.25">
      <c r="A602" s="396" t="s">
        <v>131</v>
      </c>
      <c r="B602" s="392" t="s">
        <v>1025</v>
      </c>
      <c r="C602" s="399" t="s">
        <v>118</v>
      </c>
      <c r="D602" s="399" t="s">
        <v>140</v>
      </c>
      <c r="E602" s="2">
        <v>200</v>
      </c>
      <c r="F602" s="72"/>
      <c r="G602" s="10">
        <f t="shared" si="72"/>
        <v>12</v>
      </c>
      <c r="H602" s="10">
        <f t="shared" si="72"/>
        <v>40</v>
      </c>
    </row>
    <row r="603" spans="1:8" ht="47.25" x14ac:dyDescent="0.25">
      <c r="A603" s="396" t="s">
        <v>133</v>
      </c>
      <c r="B603" s="392" t="s">
        <v>1025</v>
      </c>
      <c r="C603" s="399" t="s">
        <v>118</v>
      </c>
      <c r="D603" s="399" t="s">
        <v>140</v>
      </c>
      <c r="E603" s="2">
        <v>240</v>
      </c>
      <c r="F603" s="72"/>
      <c r="G603" s="10">
        <f>'пр.6.1.ведом.22-23 (2)'!G145</f>
        <v>12</v>
      </c>
      <c r="H603" s="10">
        <f>'пр.6.1.ведом.22-23 (2)'!H145</f>
        <v>40</v>
      </c>
    </row>
    <row r="604" spans="1:8" ht="47.25" x14ac:dyDescent="0.25">
      <c r="A604" s="45" t="s">
        <v>623</v>
      </c>
      <c r="B604" s="392" t="s">
        <v>1025</v>
      </c>
      <c r="C604" s="399" t="s">
        <v>118</v>
      </c>
      <c r="D604" s="399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399" t="s">
        <v>933</v>
      </c>
      <c r="C605" s="399" t="s">
        <v>234</v>
      </c>
      <c r="D605" s="399"/>
      <c r="E605" s="72"/>
      <c r="F605" s="72"/>
      <c r="G605" s="10">
        <f t="shared" ref="G605:H608" si="73">G606</f>
        <v>0</v>
      </c>
      <c r="H605" s="10">
        <f t="shared" si="73"/>
        <v>0</v>
      </c>
    </row>
    <row r="606" spans="1:8" ht="31.5" hidden="1" x14ac:dyDescent="0.25">
      <c r="A606" s="31" t="s">
        <v>569</v>
      </c>
      <c r="B606" s="399" t="s">
        <v>933</v>
      </c>
      <c r="C606" s="399" t="s">
        <v>234</v>
      </c>
      <c r="D606" s="399" t="s">
        <v>234</v>
      </c>
      <c r="E606" s="72"/>
      <c r="F606" s="72"/>
      <c r="G606" s="10">
        <f t="shared" si="73"/>
        <v>0</v>
      </c>
      <c r="H606" s="10">
        <f t="shared" si="73"/>
        <v>0</v>
      </c>
    </row>
    <row r="607" spans="1:8" ht="47.25" hidden="1" x14ac:dyDescent="0.25">
      <c r="A607" s="31" t="s">
        <v>1081</v>
      </c>
      <c r="B607" s="392" t="s">
        <v>1025</v>
      </c>
      <c r="C607" s="399" t="s">
        <v>234</v>
      </c>
      <c r="D607" s="399" t="s">
        <v>234</v>
      </c>
      <c r="E607" s="72"/>
      <c r="F607" s="72"/>
      <c r="G607" s="10">
        <f t="shared" si="73"/>
        <v>0</v>
      </c>
      <c r="H607" s="10">
        <f t="shared" si="73"/>
        <v>0</v>
      </c>
    </row>
    <row r="608" spans="1:8" ht="31.5" hidden="1" x14ac:dyDescent="0.25">
      <c r="A608" s="396" t="s">
        <v>131</v>
      </c>
      <c r="B608" s="392" t="s">
        <v>1025</v>
      </c>
      <c r="C608" s="399" t="s">
        <v>234</v>
      </c>
      <c r="D608" s="399" t="s">
        <v>234</v>
      </c>
      <c r="E608" s="2">
        <v>200</v>
      </c>
      <c r="F608" s="72"/>
      <c r="G608" s="10">
        <f t="shared" si="73"/>
        <v>0</v>
      </c>
      <c r="H608" s="10">
        <f t="shared" si="73"/>
        <v>0</v>
      </c>
    </row>
    <row r="609" spans="1:8" ht="47.25" hidden="1" x14ac:dyDescent="0.25">
      <c r="A609" s="396" t="s">
        <v>133</v>
      </c>
      <c r="B609" s="392" t="s">
        <v>1025</v>
      </c>
      <c r="C609" s="399" t="s">
        <v>234</v>
      </c>
      <c r="D609" s="399" t="s">
        <v>234</v>
      </c>
      <c r="E609" s="2">
        <v>240</v>
      </c>
      <c r="F609" s="72"/>
      <c r="G609" s="10">
        <f>'пр.6.1.ведом.22-23 (2)'!G1037</f>
        <v>0</v>
      </c>
      <c r="H609" s="10">
        <f>'пр.6.1.ведом.22-23 (2)'!H1037</f>
        <v>0</v>
      </c>
    </row>
    <row r="610" spans="1:8" ht="47.25" hidden="1" x14ac:dyDescent="0.25">
      <c r="A610" s="45" t="s">
        <v>623</v>
      </c>
      <c r="B610" s="392" t="s">
        <v>1025</v>
      </c>
      <c r="C610" s="399" t="s">
        <v>234</v>
      </c>
      <c r="D610" s="399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396" t="s">
        <v>263</v>
      </c>
      <c r="B611" s="399" t="s">
        <v>933</v>
      </c>
      <c r="C611" s="399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396" t="s">
        <v>404</v>
      </c>
      <c r="B612" s="399" t="s">
        <v>933</v>
      </c>
      <c r="C612" s="399" t="s">
        <v>264</v>
      </c>
      <c r="D612" s="399" t="s">
        <v>118</v>
      </c>
      <c r="E612" s="73"/>
      <c r="F612" s="73"/>
      <c r="G612" s="10">
        <f t="shared" ref="G612:H614" si="74">G613</f>
        <v>80</v>
      </c>
      <c r="H612" s="10">
        <f t="shared" si="74"/>
        <v>25</v>
      </c>
    </row>
    <row r="613" spans="1:8" ht="47.25" x14ac:dyDescent="0.25">
      <c r="A613" s="31" t="s">
        <v>1082</v>
      </c>
      <c r="B613" s="392" t="s">
        <v>934</v>
      </c>
      <c r="C613" s="399" t="s">
        <v>264</v>
      </c>
      <c r="D613" s="399" t="s">
        <v>118</v>
      </c>
      <c r="E613" s="72"/>
      <c r="F613" s="72"/>
      <c r="G613" s="10">
        <f t="shared" si="74"/>
        <v>80</v>
      </c>
      <c r="H613" s="10">
        <f t="shared" si="74"/>
        <v>25</v>
      </c>
    </row>
    <row r="614" spans="1:8" ht="47.25" x14ac:dyDescent="0.25">
      <c r="A614" s="31" t="s">
        <v>272</v>
      </c>
      <c r="B614" s="392" t="s">
        <v>934</v>
      </c>
      <c r="C614" s="399" t="s">
        <v>264</v>
      </c>
      <c r="D614" s="399" t="s">
        <v>118</v>
      </c>
      <c r="E614" s="399" t="s">
        <v>273</v>
      </c>
      <c r="F614" s="72"/>
      <c r="G614" s="10">
        <f t="shared" si="74"/>
        <v>80</v>
      </c>
      <c r="H614" s="10">
        <f t="shared" si="74"/>
        <v>25</v>
      </c>
    </row>
    <row r="615" spans="1:8" ht="15.75" x14ac:dyDescent="0.25">
      <c r="A615" s="31" t="s">
        <v>274</v>
      </c>
      <c r="B615" s="392" t="s">
        <v>934</v>
      </c>
      <c r="C615" s="399" t="s">
        <v>264</v>
      </c>
      <c r="D615" s="399" t="s">
        <v>118</v>
      </c>
      <c r="E615" s="399" t="s">
        <v>275</v>
      </c>
      <c r="F615" s="72"/>
      <c r="G615" s="10">
        <f>'пр.6.1.ведом.22-23 (2)'!G603</f>
        <v>80</v>
      </c>
      <c r="H615" s="10">
        <f>'пр.6.1.ведом.22-23 (2)'!H603</f>
        <v>25</v>
      </c>
    </row>
    <row r="616" spans="1:8" ht="31.5" x14ac:dyDescent="0.25">
      <c r="A616" s="31" t="s">
        <v>403</v>
      </c>
      <c r="B616" s="392" t="s">
        <v>934</v>
      </c>
      <c r="C616" s="399" t="s">
        <v>264</v>
      </c>
      <c r="D616" s="399" t="s">
        <v>118</v>
      </c>
      <c r="E616" s="399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399" t="s">
        <v>933</v>
      </c>
      <c r="C617" s="399" t="s">
        <v>264</v>
      </c>
      <c r="D617" s="399" t="s">
        <v>213</v>
      </c>
      <c r="E617" s="399"/>
      <c r="F617" s="73"/>
      <c r="G617" s="10">
        <f t="shared" ref="G617:H619" si="75">G618</f>
        <v>60</v>
      </c>
      <c r="H617" s="10">
        <f t="shared" si="75"/>
        <v>70</v>
      </c>
    </row>
    <row r="618" spans="1:8" ht="47.25" x14ac:dyDescent="0.25">
      <c r="A618" s="31" t="s">
        <v>1082</v>
      </c>
      <c r="B618" s="392" t="s">
        <v>934</v>
      </c>
      <c r="C618" s="399" t="s">
        <v>264</v>
      </c>
      <c r="D618" s="399" t="s">
        <v>213</v>
      </c>
      <c r="E618" s="399"/>
      <c r="F618" s="72"/>
      <c r="G618" s="10">
        <f t="shared" si="75"/>
        <v>60</v>
      </c>
      <c r="H618" s="10">
        <f t="shared" si="75"/>
        <v>70</v>
      </c>
    </row>
    <row r="619" spans="1:8" ht="47.25" x14ac:dyDescent="0.25">
      <c r="A619" s="31" t="s">
        <v>272</v>
      </c>
      <c r="B619" s="392" t="s">
        <v>934</v>
      </c>
      <c r="C619" s="399" t="s">
        <v>264</v>
      </c>
      <c r="D619" s="399" t="s">
        <v>213</v>
      </c>
      <c r="E619" s="399" t="s">
        <v>273</v>
      </c>
      <c r="F619" s="72"/>
      <c r="G619" s="10">
        <f t="shared" si="75"/>
        <v>60</v>
      </c>
      <c r="H619" s="10">
        <f t="shared" si="75"/>
        <v>70</v>
      </c>
    </row>
    <row r="620" spans="1:8" ht="15.75" x14ac:dyDescent="0.25">
      <c r="A620" s="31" t="s">
        <v>274</v>
      </c>
      <c r="B620" s="392" t="s">
        <v>934</v>
      </c>
      <c r="C620" s="399" t="s">
        <v>264</v>
      </c>
      <c r="D620" s="399" t="s">
        <v>213</v>
      </c>
      <c r="E620" s="399" t="s">
        <v>275</v>
      </c>
      <c r="F620" s="72"/>
      <c r="G620" s="10">
        <f>'пр.6.1.ведом.22-23 (2)'!G685</f>
        <v>60</v>
      </c>
      <c r="H620" s="10">
        <f>'пр.6.1.ведом.22-23 (2)'!H685</f>
        <v>70</v>
      </c>
    </row>
    <row r="621" spans="1:8" ht="31.5" x14ac:dyDescent="0.25">
      <c r="A621" s="31" t="s">
        <v>403</v>
      </c>
      <c r="B621" s="392" t="s">
        <v>934</v>
      </c>
      <c r="C621" s="399" t="s">
        <v>264</v>
      </c>
      <c r="D621" s="399" t="s">
        <v>213</v>
      </c>
      <c r="E621" s="399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ht="15.75" x14ac:dyDescent="0.25">
      <c r="A622" s="29" t="s">
        <v>265</v>
      </c>
      <c r="B622" s="399" t="s">
        <v>933</v>
      </c>
      <c r="C622" s="399" t="s">
        <v>264</v>
      </c>
      <c r="D622" s="399" t="s">
        <v>215</v>
      </c>
      <c r="E622" s="399"/>
      <c r="F622" s="73"/>
      <c r="G622" s="10">
        <f t="shared" ref="G622:H624" si="76">G623</f>
        <v>6</v>
      </c>
      <c r="H622" s="10">
        <f t="shared" si="76"/>
        <v>0</v>
      </c>
    </row>
    <row r="623" spans="1:8" ht="47.25" x14ac:dyDescent="0.25">
      <c r="A623" s="31" t="s">
        <v>1081</v>
      </c>
      <c r="B623" s="392" t="s">
        <v>1025</v>
      </c>
      <c r="C623" s="399" t="s">
        <v>264</v>
      </c>
      <c r="D623" s="399" t="s">
        <v>215</v>
      </c>
      <c r="E623" s="399"/>
      <c r="F623" s="72"/>
      <c r="G623" s="10">
        <f t="shared" si="76"/>
        <v>6</v>
      </c>
      <c r="H623" s="10">
        <f t="shared" si="76"/>
        <v>0</v>
      </c>
    </row>
    <row r="624" spans="1:8" ht="47.25" x14ac:dyDescent="0.25">
      <c r="A624" s="31" t="s">
        <v>272</v>
      </c>
      <c r="B624" s="392" t="s">
        <v>1025</v>
      </c>
      <c r="C624" s="399" t="s">
        <v>264</v>
      </c>
      <c r="D624" s="399" t="s">
        <v>215</v>
      </c>
      <c r="E624" s="399" t="s">
        <v>132</v>
      </c>
      <c r="F624" s="72"/>
      <c r="G624" s="10">
        <f t="shared" si="76"/>
        <v>6</v>
      </c>
      <c r="H624" s="10">
        <f t="shared" si="76"/>
        <v>0</v>
      </c>
    </row>
    <row r="625" spans="1:8" ht="15.75" x14ac:dyDescent="0.25">
      <c r="A625" s="31" t="s">
        <v>274</v>
      </c>
      <c r="B625" s="392" t="s">
        <v>1025</v>
      </c>
      <c r="C625" s="399" t="s">
        <v>264</v>
      </c>
      <c r="D625" s="399" t="s">
        <v>215</v>
      </c>
      <c r="E625" s="399" t="s">
        <v>134</v>
      </c>
      <c r="F625" s="72"/>
      <c r="G625" s="10">
        <f>'пр.6.1.ведом.22-23 (2)'!G331</f>
        <v>6</v>
      </c>
      <c r="H625" s="10">
        <f>'пр.6.1.ведом.22-23 (2)'!H331</f>
        <v>0</v>
      </c>
    </row>
    <row r="626" spans="1:8" ht="47.25" x14ac:dyDescent="0.25">
      <c r="A626" s="45" t="s">
        <v>261</v>
      </c>
      <c r="B626" s="392" t="s">
        <v>1025</v>
      </c>
      <c r="C626" s="399" t="s">
        <v>264</v>
      </c>
      <c r="D626" s="399" t="s">
        <v>215</v>
      </c>
      <c r="E626" s="399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392" t="s">
        <v>933</v>
      </c>
      <c r="C627" s="399" t="s">
        <v>299</v>
      </c>
      <c r="D627" s="399"/>
      <c r="E627" s="399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392" t="s">
        <v>933</v>
      </c>
      <c r="C628" s="399" t="s">
        <v>299</v>
      </c>
      <c r="D628" s="399" t="s">
        <v>118</v>
      </c>
      <c r="E628" s="399"/>
      <c r="F628" s="2"/>
      <c r="G628" s="10">
        <f t="shared" ref="G628:H630" si="77">G629</f>
        <v>10</v>
      </c>
      <c r="H628" s="10">
        <f t="shared" si="77"/>
        <v>0</v>
      </c>
    </row>
    <row r="629" spans="1:8" ht="48.95" customHeight="1" x14ac:dyDescent="0.25">
      <c r="A629" s="31" t="s">
        <v>1081</v>
      </c>
      <c r="B629" s="392" t="s">
        <v>1025</v>
      </c>
      <c r="C629" s="399" t="s">
        <v>299</v>
      </c>
      <c r="D629" s="399" t="s">
        <v>118</v>
      </c>
      <c r="E629" s="399"/>
      <c r="F629" s="2"/>
      <c r="G629" s="10">
        <f t="shared" si="77"/>
        <v>10</v>
      </c>
      <c r="H629" s="10">
        <f t="shared" si="77"/>
        <v>0</v>
      </c>
    </row>
    <row r="630" spans="1:8" ht="31.5" x14ac:dyDescent="0.25">
      <c r="A630" s="396" t="s">
        <v>131</v>
      </c>
      <c r="B630" s="392" t="s">
        <v>1025</v>
      </c>
      <c r="C630" s="399" t="s">
        <v>299</v>
      </c>
      <c r="D630" s="399" t="s">
        <v>118</v>
      </c>
      <c r="E630" s="399" t="s">
        <v>132</v>
      </c>
      <c r="F630" s="2"/>
      <c r="G630" s="10">
        <f t="shared" si="77"/>
        <v>10</v>
      </c>
      <c r="H630" s="10">
        <f t="shared" si="77"/>
        <v>0</v>
      </c>
    </row>
    <row r="631" spans="1:8" ht="47.25" x14ac:dyDescent="0.25">
      <c r="A631" s="396" t="s">
        <v>133</v>
      </c>
      <c r="B631" s="392" t="s">
        <v>1025</v>
      </c>
      <c r="C631" s="399" t="s">
        <v>299</v>
      </c>
      <c r="D631" s="399" t="s">
        <v>118</v>
      </c>
      <c r="E631" s="399" t="s">
        <v>134</v>
      </c>
      <c r="F631" s="2"/>
      <c r="G631" s="10">
        <f>'пр.6.1.ведом.22-23 (2)'!G405</f>
        <v>10</v>
      </c>
      <c r="H631" s="10">
        <f>'пр.6.1.ведом.22-23 (2)'!H405</f>
        <v>0</v>
      </c>
    </row>
    <row r="632" spans="1:8" ht="47.25" x14ac:dyDescent="0.25">
      <c r="A632" s="45" t="s">
        <v>261</v>
      </c>
      <c r="B632" s="392" t="s">
        <v>1025</v>
      </c>
      <c r="C632" s="399" t="s">
        <v>299</v>
      </c>
      <c r="D632" s="399" t="s">
        <v>118</v>
      </c>
      <c r="E632" s="399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ht="31.5" x14ac:dyDescent="0.25">
      <c r="A633" s="31" t="s">
        <v>333</v>
      </c>
      <c r="B633" s="392" t="s">
        <v>933</v>
      </c>
      <c r="C633" s="399" t="s">
        <v>299</v>
      </c>
      <c r="D633" s="399" t="s">
        <v>150</v>
      </c>
      <c r="E633" s="399"/>
      <c r="F633" s="2"/>
      <c r="G633" s="10">
        <f t="shared" ref="G633:H635" si="78">G634</f>
        <v>0</v>
      </c>
      <c r="H633" s="10">
        <f t="shared" si="78"/>
        <v>4</v>
      </c>
    </row>
    <row r="634" spans="1:8" ht="52.35" customHeight="1" x14ac:dyDescent="0.25">
      <c r="A634" s="31" t="s">
        <v>1081</v>
      </c>
      <c r="B634" s="392" t="s">
        <v>1025</v>
      </c>
      <c r="C634" s="399" t="s">
        <v>299</v>
      </c>
      <c r="D634" s="399" t="s">
        <v>150</v>
      </c>
      <c r="E634" s="399"/>
      <c r="F634" s="2"/>
      <c r="G634" s="10">
        <f t="shared" si="78"/>
        <v>0</v>
      </c>
      <c r="H634" s="10">
        <f t="shared" si="78"/>
        <v>4</v>
      </c>
    </row>
    <row r="635" spans="1:8" ht="31.5" x14ac:dyDescent="0.25">
      <c r="A635" s="396" t="s">
        <v>131</v>
      </c>
      <c r="B635" s="392" t="s">
        <v>1025</v>
      </c>
      <c r="C635" s="399" t="s">
        <v>299</v>
      </c>
      <c r="D635" s="399" t="s">
        <v>150</v>
      </c>
      <c r="E635" s="399" t="s">
        <v>132</v>
      </c>
      <c r="F635" s="2"/>
      <c r="G635" s="10">
        <f t="shared" si="78"/>
        <v>0</v>
      </c>
      <c r="H635" s="10">
        <f t="shared" si="78"/>
        <v>4</v>
      </c>
    </row>
    <row r="636" spans="1:8" ht="47.25" x14ac:dyDescent="0.25">
      <c r="A636" s="396" t="s">
        <v>133</v>
      </c>
      <c r="B636" s="392" t="s">
        <v>1025</v>
      </c>
      <c r="C636" s="399" t="s">
        <v>299</v>
      </c>
      <c r="D636" s="399" t="s">
        <v>150</v>
      </c>
      <c r="E636" s="399" t="s">
        <v>134</v>
      </c>
      <c r="F636" s="2"/>
      <c r="G636" s="10">
        <f>'пр.6.1.ведом.22-23 (2)'!G444</f>
        <v>0</v>
      </c>
      <c r="H636" s="10">
        <f>'пр.6.1.ведом.22-23 (2)'!H444</f>
        <v>4</v>
      </c>
    </row>
    <row r="637" spans="1:8" ht="47.25" x14ac:dyDescent="0.25">
      <c r="A637" s="45" t="s">
        <v>261</v>
      </c>
      <c r="B637" s="392" t="s">
        <v>1025</v>
      </c>
      <c r="C637" s="399" t="s">
        <v>299</v>
      </c>
      <c r="D637" s="399" t="s">
        <v>150</v>
      </c>
      <c r="E637" s="399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399" t="s">
        <v>933</v>
      </c>
      <c r="C638" s="399" t="s">
        <v>491</v>
      </c>
      <c r="D638" s="73"/>
      <c r="E638" s="73"/>
      <c r="F638" s="73"/>
      <c r="G638" s="10">
        <f t="shared" ref="G638:H639" si="79">G639</f>
        <v>0</v>
      </c>
      <c r="H638" s="10">
        <f t="shared" si="79"/>
        <v>8</v>
      </c>
    </row>
    <row r="639" spans="1:8" ht="15.75" x14ac:dyDescent="0.25">
      <c r="A639" s="73" t="s">
        <v>492</v>
      </c>
      <c r="B639" s="399" t="s">
        <v>933</v>
      </c>
      <c r="C639" s="399" t="s">
        <v>491</v>
      </c>
      <c r="D639" s="399" t="s">
        <v>118</v>
      </c>
      <c r="E639" s="73"/>
      <c r="F639" s="73"/>
      <c r="G639" s="10">
        <f t="shared" si="79"/>
        <v>0</v>
      </c>
      <c r="H639" s="10">
        <f t="shared" si="79"/>
        <v>8</v>
      </c>
    </row>
    <row r="640" spans="1:8" ht="47.25" x14ac:dyDescent="0.25">
      <c r="A640" s="31" t="s">
        <v>1082</v>
      </c>
      <c r="B640" s="399" t="s">
        <v>934</v>
      </c>
      <c r="C640" s="399" t="s">
        <v>491</v>
      </c>
      <c r="D640" s="399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396" t="s">
        <v>272</v>
      </c>
      <c r="B641" s="399" t="s">
        <v>934</v>
      </c>
      <c r="C641" s="399" t="s">
        <v>491</v>
      </c>
      <c r="D641" s="399" t="s">
        <v>118</v>
      </c>
      <c r="E641" s="399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396" t="s">
        <v>274</v>
      </c>
      <c r="B642" s="399" t="s">
        <v>934</v>
      </c>
      <c r="C642" s="399" t="s">
        <v>491</v>
      </c>
      <c r="D642" s="399" t="s">
        <v>118</v>
      </c>
      <c r="E642" s="399" t="s">
        <v>275</v>
      </c>
      <c r="F642" s="73"/>
      <c r="G642" s="10">
        <f>'пр.6.1.ведом.22-23 (2)'!G797</f>
        <v>0</v>
      </c>
      <c r="H642" s="10">
        <f>'пр.6.1.ведом.22-23 (2)'!H797</f>
        <v>8</v>
      </c>
    </row>
    <row r="643" spans="1:8" ht="47.25" x14ac:dyDescent="0.25">
      <c r="A643" s="45" t="s">
        <v>480</v>
      </c>
      <c r="B643" s="399" t="s">
        <v>934</v>
      </c>
      <c r="C643" s="399" t="s">
        <v>491</v>
      </c>
      <c r="D643" s="399" t="s">
        <v>118</v>
      </c>
      <c r="E643" s="399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00" t="s">
        <v>1361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394" t="s">
        <v>1431</v>
      </c>
      <c r="B645" s="7" t="s">
        <v>1272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399" t="s">
        <v>1272</v>
      </c>
      <c r="C646" s="399" t="s">
        <v>234</v>
      </c>
      <c r="D646" s="399"/>
      <c r="E646" s="2"/>
      <c r="F646" s="2"/>
      <c r="G646" s="10">
        <f t="shared" ref="G646:H646" si="80">G647</f>
        <v>1920</v>
      </c>
      <c r="H646" s="10">
        <f t="shared" si="80"/>
        <v>2173</v>
      </c>
    </row>
    <row r="647" spans="1:8" ht="15.75" x14ac:dyDescent="0.25">
      <c r="A647" s="73" t="s">
        <v>541</v>
      </c>
      <c r="B647" s="399" t="s">
        <v>1272</v>
      </c>
      <c r="C647" s="399" t="s">
        <v>234</v>
      </c>
      <c r="D647" s="399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396" t="s">
        <v>546</v>
      </c>
      <c r="B648" s="392" t="s">
        <v>1427</v>
      </c>
      <c r="C648" s="399" t="s">
        <v>234</v>
      </c>
      <c r="D648" s="399" t="s">
        <v>215</v>
      </c>
      <c r="E648" s="2"/>
      <c r="F648" s="2"/>
      <c r="G648" s="10">
        <f t="shared" ref="G648:H649" si="81">G649</f>
        <v>365</v>
      </c>
      <c r="H648" s="10">
        <f t="shared" si="81"/>
        <v>365</v>
      </c>
    </row>
    <row r="649" spans="1:8" ht="31.5" x14ac:dyDescent="0.25">
      <c r="A649" s="396" t="s">
        <v>131</v>
      </c>
      <c r="B649" s="392" t="s">
        <v>1427</v>
      </c>
      <c r="C649" s="399" t="s">
        <v>234</v>
      </c>
      <c r="D649" s="399" t="s">
        <v>215</v>
      </c>
      <c r="E649" s="2">
        <v>200</v>
      </c>
      <c r="F649" s="2"/>
      <c r="G649" s="10">
        <f t="shared" si="81"/>
        <v>365</v>
      </c>
      <c r="H649" s="10">
        <f t="shared" si="81"/>
        <v>365</v>
      </c>
    </row>
    <row r="650" spans="1:8" ht="47.25" x14ac:dyDescent="0.25">
      <c r="A650" s="396" t="s">
        <v>133</v>
      </c>
      <c r="B650" s="392" t="s">
        <v>1427</v>
      </c>
      <c r="C650" s="399" t="s">
        <v>234</v>
      </c>
      <c r="D650" s="399" t="s">
        <v>215</v>
      </c>
      <c r="E650" s="2">
        <v>240</v>
      </c>
      <c r="F650" s="2"/>
      <c r="G650" s="10">
        <f>'пр.6.1.ведом.22-23 (2)'!G967</f>
        <v>365</v>
      </c>
      <c r="H650" s="10">
        <f>'пр.6.1.ведом.22-23 (2)'!H967</f>
        <v>365</v>
      </c>
    </row>
    <row r="651" spans="1:8" ht="47.25" x14ac:dyDescent="0.25">
      <c r="A651" s="45" t="s">
        <v>623</v>
      </c>
      <c r="B651" s="392" t="s">
        <v>1427</v>
      </c>
      <c r="C651" s="399" t="s">
        <v>234</v>
      </c>
      <c r="D651" s="399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396" t="s">
        <v>548</v>
      </c>
      <c r="B652" s="392" t="s">
        <v>1417</v>
      </c>
      <c r="C652" s="399" t="s">
        <v>234</v>
      </c>
      <c r="D652" s="399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396" t="s">
        <v>131</v>
      </c>
      <c r="B653" s="392" t="s">
        <v>1417</v>
      </c>
      <c r="C653" s="399" t="s">
        <v>234</v>
      </c>
      <c r="D653" s="399" t="s">
        <v>215</v>
      </c>
      <c r="E653" s="2">
        <v>200</v>
      </c>
      <c r="F653" s="2"/>
      <c r="G653" s="10">
        <f t="shared" ref="G653:H653" si="82">G654</f>
        <v>1080</v>
      </c>
      <c r="H653" s="10">
        <f t="shared" si="82"/>
        <v>1188</v>
      </c>
    </row>
    <row r="654" spans="1:8" ht="47.25" x14ac:dyDescent="0.25">
      <c r="A654" s="396" t="s">
        <v>133</v>
      </c>
      <c r="B654" s="392" t="s">
        <v>1417</v>
      </c>
      <c r="C654" s="399" t="s">
        <v>234</v>
      </c>
      <c r="D654" s="399" t="s">
        <v>215</v>
      </c>
      <c r="E654" s="2">
        <v>240</v>
      </c>
      <c r="F654" s="2"/>
      <c r="G654" s="10">
        <f>'пр.6.1.ведом.22-23 (2)'!G970</f>
        <v>1080</v>
      </c>
      <c r="H654" s="10">
        <f>'пр.6.1.ведом.22-23 (2)'!H970</f>
        <v>1188</v>
      </c>
    </row>
    <row r="655" spans="1:8" ht="47.25" x14ac:dyDescent="0.25">
      <c r="A655" s="45" t="s">
        <v>623</v>
      </c>
      <c r="B655" s="392" t="s">
        <v>1417</v>
      </c>
      <c r="C655" s="399" t="s">
        <v>234</v>
      </c>
      <c r="D655" s="399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396" t="s">
        <v>135</v>
      </c>
      <c r="B656" s="392" t="s">
        <v>1417</v>
      </c>
      <c r="C656" s="399" t="s">
        <v>234</v>
      </c>
      <c r="D656" s="399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396" t="s">
        <v>835</v>
      </c>
      <c r="B657" s="392" t="s">
        <v>1417</v>
      </c>
      <c r="C657" s="399" t="s">
        <v>234</v>
      </c>
      <c r="D657" s="399" t="s">
        <v>215</v>
      </c>
      <c r="E657" s="2">
        <v>830</v>
      </c>
      <c r="F657" s="2"/>
      <c r="G657" s="10">
        <f>'пр.6.1.ведом.22-23 (2)'!G972</f>
        <v>0</v>
      </c>
      <c r="H657" s="10">
        <f>'пр.6.1.ведом.22-23 (2)'!H972</f>
        <v>0</v>
      </c>
    </row>
    <row r="658" spans="1:8" ht="47.25" hidden="1" x14ac:dyDescent="0.25">
      <c r="A658" s="45" t="s">
        <v>623</v>
      </c>
      <c r="B658" s="392" t="s">
        <v>1417</v>
      </c>
      <c r="C658" s="399" t="s">
        <v>234</v>
      </c>
      <c r="D658" s="399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396" t="s">
        <v>135</v>
      </c>
      <c r="B659" s="392" t="s">
        <v>1417</v>
      </c>
      <c r="C659" s="399" t="s">
        <v>234</v>
      </c>
      <c r="D659" s="399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396" t="s">
        <v>1078</v>
      </c>
      <c r="B660" s="392" t="s">
        <v>1417</v>
      </c>
      <c r="C660" s="399" t="s">
        <v>234</v>
      </c>
      <c r="D660" s="399" t="s">
        <v>215</v>
      </c>
      <c r="E660" s="2">
        <v>850</v>
      </c>
      <c r="F660" s="2"/>
      <c r="G660" s="10">
        <f>'пр.6.1.ведом.22-23 (2)'!G973</f>
        <v>0</v>
      </c>
      <c r="H660" s="10">
        <f>'пр.6.1.ведом.22-23 (2)'!H973</f>
        <v>0</v>
      </c>
    </row>
    <row r="661" spans="1:8" ht="47.25" hidden="1" x14ac:dyDescent="0.25">
      <c r="A661" s="45" t="s">
        <v>623</v>
      </c>
      <c r="B661" s="392" t="s">
        <v>1417</v>
      </c>
      <c r="C661" s="399" t="s">
        <v>234</v>
      </c>
      <c r="D661" s="399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396" t="s">
        <v>550</v>
      </c>
      <c r="B662" s="392" t="s">
        <v>1296</v>
      </c>
      <c r="C662" s="399" t="s">
        <v>234</v>
      </c>
      <c r="D662" s="399" t="s">
        <v>215</v>
      </c>
      <c r="E662" s="2"/>
      <c r="F662" s="2"/>
      <c r="G662" s="10">
        <f t="shared" ref="G662:H662" si="83">G663</f>
        <v>0</v>
      </c>
      <c r="H662" s="10">
        <f t="shared" si="83"/>
        <v>0</v>
      </c>
    </row>
    <row r="663" spans="1:8" ht="31.5" hidden="1" x14ac:dyDescent="0.25">
      <c r="A663" s="396" t="s">
        <v>131</v>
      </c>
      <c r="B663" s="392" t="s">
        <v>1296</v>
      </c>
      <c r="C663" s="399" t="s">
        <v>234</v>
      </c>
      <c r="D663" s="399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396" t="s">
        <v>133</v>
      </c>
      <c r="B664" s="392" t="s">
        <v>1296</v>
      </c>
      <c r="C664" s="399" t="s">
        <v>234</v>
      </c>
      <c r="D664" s="399" t="s">
        <v>215</v>
      </c>
      <c r="E664" s="2">
        <v>240</v>
      </c>
      <c r="F664" s="2"/>
      <c r="G664" s="10">
        <f>'пр.6.1.ведом.22-23 (2)'!G976</f>
        <v>0</v>
      </c>
      <c r="H664" s="10">
        <f>'пр.6.1.ведом.22-23 (2)'!H976</f>
        <v>0</v>
      </c>
    </row>
    <row r="665" spans="1:8" ht="47.25" hidden="1" x14ac:dyDescent="0.25">
      <c r="A665" s="45" t="s">
        <v>623</v>
      </c>
      <c r="B665" s="392" t="s">
        <v>1296</v>
      </c>
      <c r="C665" s="399" t="s">
        <v>234</v>
      </c>
      <c r="D665" s="399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396" t="s">
        <v>555</v>
      </c>
      <c r="B666" s="392" t="s">
        <v>1273</v>
      </c>
      <c r="C666" s="399" t="s">
        <v>234</v>
      </c>
      <c r="D666" s="399" t="s">
        <v>215</v>
      </c>
      <c r="E666" s="2"/>
      <c r="F666" s="2"/>
      <c r="G666" s="10">
        <f t="shared" ref="G666:H667" si="84">G667</f>
        <v>50</v>
      </c>
      <c r="H666" s="10">
        <f t="shared" si="84"/>
        <v>55</v>
      </c>
    </row>
    <row r="667" spans="1:8" ht="31.5" x14ac:dyDescent="0.25">
      <c r="A667" s="396" t="s">
        <v>131</v>
      </c>
      <c r="B667" s="392" t="s">
        <v>1273</v>
      </c>
      <c r="C667" s="399" t="s">
        <v>234</v>
      </c>
      <c r="D667" s="399" t="s">
        <v>215</v>
      </c>
      <c r="E667" s="2">
        <v>200</v>
      </c>
      <c r="F667" s="2"/>
      <c r="G667" s="10">
        <f t="shared" si="84"/>
        <v>50</v>
      </c>
      <c r="H667" s="10">
        <f t="shared" si="84"/>
        <v>55</v>
      </c>
    </row>
    <row r="668" spans="1:8" ht="47.25" x14ac:dyDescent="0.25">
      <c r="A668" s="396" t="s">
        <v>133</v>
      </c>
      <c r="B668" s="392" t="s">
        <v>1273</v>
      </c>
      <c r="C668" s="399" t="s">
        <v>234</v>
      </c>
      <c r="D668" s="399" t="s">
        <v>215</v>
      </c>
      <c r="E668" s="2">
        <v>240</v>
      </c>
      <c r="F668" s="2"/>
      <c r="G668" s="10">
        <f>'пр.6.1.ведом.22-23 (2)'!G979</f>
        <v>50</v>
      </c>
      <c r="H668" s="10">
        <f>'пр.6.1.ведом.22-23 (2)'!H979</f>
        <v>55</v>
      </c>
    </row>
    <row r="669" spans="1:8" ht="47.25" x14ac:dyDescent="0.25">
      <c r="A669" s="45" t="s">
        <v>623</v>
      </c>
      <c r="B669" s="392" t="s">
        <v>1273</v>
      </c>
      <c r="C669" s="399" t="s">
        <v>234</v>
      </c>
      <c r="D669" s="399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70" t="s">
        <v>1277</v>
      </c>
      <c r="B670" s="392" t="s">
        <v>1274</v>
      </c>
      <c r="C670" s="399" t="s">
        <v>234</v>
      </c>
      <c r="D670" s="399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396" t="s">
        <v>131</v>
      </c>
      <c r="B671" s="392" t="s">
        <v>1274</v>
      </c>
      <c r="C671" s="399" t="s">
        <v>234</v>
      </c>
      <c r="D671" s="399" t="s">
        <v>215</v>
      </c>
      <c r="E671" s="2">
        <v>200</v>
      </c>
      <c r="F671" s="2"/>
      <c r="G671" s="10">
        <f t="shared" ref="G671:H671" si="85">G672</f>
        <v>300</v>
      </c>
      <c r="H671" s="10">
        <f t="shared" si="85"/>
        <v>300</v>
      </c>
    </row>
    <row r="672" spans="1:8" ht="47.25" x14ac:dyDescent="0.25">
      <c r="A672" s="396" t="s">
        <v>133</v>
      </c>
      <c r="B672" s="392" t="s">
        <v>1274</v>
      </c>
      <c r="C672" s="399" t="s">
        <v>234</v>
      </c>
      <c r="D672" s="399" t="s">
        <v>215</v>
      </c>
      <c r="E672" s="2">
        <v>240</v>
      </c>
      <c r="F672" s="2"/>
      <c r="G672" s="10">
        <f>'пр.6.1.ведом.22-23 (2)'!G982</f>
        <v>300</v>
      </c>
      <c r="H672" s="10">
        <f>'пр.6.1.ведом.22-23 (2)'!H982</f>
        <v>300</v>
      </c>
    </row>
    <row r="673" spans="1:8" ht="47.25" x14ac:dyDescent="0.25">
      <c r="A673" s="45" t="s">
        <v>623</v>
      </c>
      <c r="B673" s="392" t="s">
        <v>1274</v>
      </c>
      <c r="C673" s="399" t="s">
        <v>234</v>
      </c>
      <c r="D673" s="399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392" t="s">
        <v>1274</v>
      </c>
      <c r="C674" s="399" t="s">
        <v>234</v>
      </c>
      <c r="D674" s="399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ht="15.75" x14ac:dyDescent="0.25">
      <c r="A675" s="396" t="s">
        <v>704</v>
      </c>
      <c r="B675" s="392" t="s">
        <v>1274</v>
      </c>
      <c r="C675" s="399" t="s">
        <v>234</v>
      </c>
      <c r="D675" s="399" t="s">
        <v>215</v>
      </c>
      <c r="E675" s="2">
        <v>850</v>
      </c>
      <c r="F675" s="2"/>
      <c r="G675" s="10">
        <f>'пр.6.1.ведом.22-23 (2)'!G984</f>
        <v>75</v>
      </c>
      <c r="H675" s="10">
        <f>'пр.6.1.ведом.22-23 (2)'!H984</f>
        <v>75</v>
      </c>
    </row>
    <row r="676" spans="1:8" ht="47.25" x14ac:dyDescent="0.25">
      <c r="A676" s="45" t="s">
        <v>623</v>
      </c>
      <c r="B676" s="392" t="s">
        <v>1274</v>
      </c>
      <c r="C676" s="399" t="s">
        <v>234</v>
      </c>
      <c r="D676" s="399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ht="31.5" x14ac:dyDescent="0.25">
      <c r="A677" s="45" t="s">
        <v>559</v>
      </c>
      <c r="B677" s="392" t="s">
        <v>1275</v>
      </c>
      <c r="C677" s="399" t="s">
        <v>234</v>
      </c>
      <c r="D677" s="399" t="s">
        <v>215</v>
      </c>
      <c r="E677" s="2"/>
      <c r="F677" s="2"/>
      <c r="G677" s="10">
        <f t="shared" ref="G677:H678" si="86">G678</f>
        <v>0</v>
      </c>
      <c r="H677" s="10">
        <f t="shared" si="86"/>
        <v>130</v>
      </c>
    </row>
    <row r="678" spans="1:8" ht="31.5" x14ac:dyDescent="0.25">
      <c r="A678" s="396" t="s">
        <v>131</v>
      </c>
      <c r="B678" s="392" t="s">
        <v>1275</v>
      </c>
      <c r="C678" s="399" t="s">
        <v>234</v>
      </c>
      <c r="D678" s="399" t="s">
        <v>215</v>
      </c>
      <c r="E678" s="2">
        <v>200</v>
      </c>
      <c r="F678" s="2"/>
      <c r="G678" s="10">
        <f t="shared" si="86"/>
        <v>0</v>
      </c>
      <c r="H678" s="10">
        <f t="shared" si="86"/>
        <v>130</v>
      </c>
    </row>
    <row r="679" spans="1:8" ht="47.25" x14ac:dyDescent="0.25">
      <c r="A679" s="396" t="s">
        <v>133</v>
      </c>
      <c r="B679" s="392" t="s">
        <v>1275</v>
      </c>
      <c r="C679" s="399" t="s">
        <v>234</v>
      </c>
      <c r="D679" s="399" t="s">
        <v>215</v>
      </c>
      <c r="E679" s="2">
        <v>240</v>
      </c>
      <c r="F679" s="2"/>
      <c r="G679" s="10">
        <f>'пр.6.1.ведом.22-23 (2)'!G987</f>
        <v>0</v>
      </c>
      <c r="H679" s="10">
        <f>'пр.6.1.ведом.22-23 (2)'!H987</f>
        <v>130</v>
      </c>
    </row>
    <row r="680" spans="1:8" ht="47.25" x14ac:dyDescent="0.25">
      <c r="A680" s="45" t="s">
        <v>623</v>
      </c>
      <c r="B680" s="392" t="s">
        <v>1275</v>
      </c>
      <c r="C680" s="399" t="s">
        <v>234</v>
      </c>
      <c r="D680" s="399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13" t="s">
        <v>1089</v>
      </c>
      <c r="B681" s="392" t="s">
        <v>1276</v>
      </c>
      <c r="C681" s="399" t="s">
        <v>234</v>
      </c>
      <c r="D681" s="399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396" t="s">
        <v>131</v>
      </c>
      <c r="B682" s="392" t="s">
        <v>1276</v>
      </c>
      <c r="C682" s="399" t="s">
        <v>234</v>
      </c>
      <c r="D682" s="399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396" t="s">
        <v>133</v>
      </c>
      <c r="B683" s="392" t="s">
        <v>1276</v>
      </c>
      <c r="C683" s="399" t="s">
        <v>234</v>
      </c>
      <c r="D683" s="399" t="s">
        <v>215</v>
      </c>
      <c r="E683" s="2">
        <v>240</v>
      </c>
      <c r="F683" s="2"/>
      <c r="G683" s="10">
        <f>'пр.6.1.ведом.22-23 (2)'!G990</f>
        <v>50</v>
      </c>
      <c r="H683" s="10">
        <f>'пр.6.1.ведом.22-23 (2)'!H990</f>
        <v>60</v>
      </c>
    </row>
    <row r="684" spans="1:8" ht="47.25" x14ac:dyDescent="0.25">
      <c r="A684" s="45" t="s">
        <v>623</v>
      </c>
      <c r="B684" s="392" t="s">
        <v>1276</v>
      </c>
      <c r="C684" s="399" t="s">
        <v>234</v>
      </c>
      <c r="D684" s="399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394" t="s">
        <v>890</v>
      </c>
      <c r="B685" s="395" t="s">
        <v>1294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392" t="s">
        <v>1294</v>
      </c>
      <c r="C686" s="399" t="s">
        <v>234</v>
      </c>
      <c r="D686" s="399"/>
      <c r="E686" s="2"/>
      <c r="F686" s="2"/>
      <c r="G686" s="10">
        <f t="shared" ref="G686:H686" si="87">G687</f>
        <v>0</v>
      </c>
      <c r="H686" s="10">
        <f t="shared" si="87"/>
        <v>0</v>
      </c>
    </row>
    <row r="687" spans="1:8" ht="15.75" hidden="1" x14ac:dyDescent="0.25">
      <c r="A687" s="73" t="s">
        <v>541</v>
      </c>
      <c r="B687" s="392" t="s">
        <v>1294</v>
      </c>
      <c r="C687" s="399" t="s">
        <v>234</v>
      </c>
      <c r="D687" s="399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396" t="s">
        <v>690</v>
      </c>
      <c r="B688" s="392" t="s">
        <v>1325</v>
      </c>
      <c r="C688" s="399" t="s">
        <v>234</v>
      </c>
      <c r="D688" s="399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396" t="s">
        <v>131</v>
      </c>
      <c r="B689" s="392" t="s">
        <v>1325</v>
      </c>
      <c r="C689" s="399" t="s">
        <v>234</v>
      </c>
      <c r="D689" s="399" t="s">
        <v>215</v>
      </c>
      <c r="E689" s="392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396" t="s">
        <v>133</v>
      </c>
      <c r="B690" s="392" t="s">
        <v>1325</v>
      </c>
      <c r="C690" s="399" t="s">
        <v>234</v>
      </c>
      <c r="D690" s="399" t="s">
        <v>215</v>
      </c>
      <c r="E690" s="392" t="s">
        <v>134</v>
      </c>
      <c r="F690" s="2"/>
      <c r="G690" s="10">
        <f>'пр.6.1.ведом.22-23 (2)'!G994</f>
        <v>0</v>
      </c>
      <c r="H690" s="10">
        <f>'пр.6.1.ведом.22-23 (2)'!H994</f>
        <v>0</v>
      </c>
    </row>
    <row r="691" spans="1:8" ht="47.25" hidden="1" x14ac:dyDescent="0.25">
      <c r="A691" s="45" t="s">
        <v>623</v>
      </c>
      <c r="B691" s="392" t="s">
        <v>1325</v>
      </c>
      <c r="C691" s="399" t="s">
        <v>234</v>
      </c>
      <c r="D691" s="399" t="s">
        <v>215</v>
      </c>
      <c r="E691" s="392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396" t="s">
        <v>1071</v>
      </c>
      <c r="B692" s="392" t="s">
        <v>1293</v>
      </c>
      <c r="C692" s="399" t="s">
        <v>234</v>
      </c>
      <c r="D692" s="399" t="s">
        <v>215</v>
      </c>
      <c r="E692" s="392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396" t="s">
        <v>131</v>
      </c>
      <c r="B693" s="392" t="s">
        <v>1293</v>
      </c>
      <c r="C693" s="399" t="s">
        <v>234</v>
      </c>
      <c r="D693" s="399" t="s">
        <v>215</v>
      </c>
      <c r="E693" s="392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396" t="s">
        <v>133</v>
      </c>
      <c r="B694" s="392" t="s">
        <v>1293</v>
      </c>
      <c r="C694" s="399" t="s">
        <v>234</v>
      </c>
      <c r="D694" s="399" t="s">
        <v>215</v>
      </c>
      <c r="E694" s="392" t="s">
        <v>134</v>
      </c>
      <c r="F694" s="2"/>
      <c r="G694" s="10">
        <f>'пр.6.1.ведом.22-23 (2)'!G997</f>
        <v>0</v>
      </c>
      <c r="H694" s="10">
        <f>'пр.6.1.ведом.22-23 (2)'!H997</f>
        <v>0</v>
      </c>
    </row>
    <row r="695" spans="1:8" ht="47.25" hidden="1" x14ac:dyDescent="0.25">
      <c r="A695" s="45" t="s">
        <v>623</v>
      </c>
      <c r="B695" s="392" t="s">
        <v>1293</v>
      </c>
      <c r="C695" s="399" t="s">
        <v>234</v>
      </c>
      <c r="D695" s="399" t="s">
        <v>215</v>
      </c>
      <c r="E695" s="392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1343</v>
      </c>
      <c r="B696" s="187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1005</v>
      </c>
      <c r="B697" s="187" t="s">
        <v>876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876</v>
      </c>
      <c r="C698" s="399" t="s">
        <v>150</v>
      </c>
      <c r="D698" s="399"/>
      <c r="E698" s="399"/>
      <c r="F698" s="2"/>
      <c r="G698" s="10">
        <f t="shared" ref="G698:H701" si="88">G699</f>
        <v>274</v>
      </c>
      <c r="H698" s="10">
        <f t="shared" si="88"/>
        <v>274</v>
      </c>
    </row>
    <row r="699" spans="1:8" ht="15.75" x14ac:dyDescent="0.25">
      <c r="A699" s="29" t="s">
        <v>233</v>
      </c>
      <c r="B699" s="30" t="s">
        <v>876</v>
      </c>
      <c r="C699" s="399" t="s">
        <v>150</v>
      </c>
      <c r="D699" s="399" t="s">
        <v>234</v>
      </c>
      <c r="E699" s="399"/>
      <c r="F699" s="2"/>
      <c r="G699" s="10">
        <f>G700</f>
        <v>274</v>
      </c>
      <c r="H699" s="10">
        <f>H700</f>
        <v>274</v>
      </c>
    </row>
    <row r="700" spans="1:8" ht="31.5" x14ac:dyDescent="0.25">
      <c r="A700" s="396" t="s">
        <v>235</v>
      </c>
      <c r="B700" s="392" t="s">
        <v>897</v>
      </c>
      <c r="C700" s="399" t="s">
        <v>150</v>
      </c>
      <c r="D700" s="399" t="s">
        <v>234</v>
      </c>
      <c r="E700" s="399"/>
      <c r="F700" s="2"/>
      <c r="G700" s="10">
        <f t="shared" si="88"/>
        <v>274</v>
      </c>
      <c r="H700" s="10">
        <f t="shared" si="88"/>
        <v>274</v>
      </c>
    </row>
    <row r="701" spans="1:8" ht="15.75" x14ac:dyDescent="0.25">
      <c r="A701" s="29" t="s">
        <v>135</v>
      </c>
      <c r="B701" s="392" t="s">
        <v>897</v>
      </c>
      <c r="C701" s="399" t="s">
        <v>150</v>
      </c>
      <c r="D701" s="399" t="s">
        <v>234</v>
      </c>
      <c r="E701" s="399" t="s">
        <v>145</v>
      </c>
      <c r="F701" s="2"/>
      <c r="G701" s="10">
        <f t="shared" si="88"/>
        <v>274</v>
      </c>
      <c r="H701" s="10">
        <f t="shared" si="88"/>
        <v>274</v>
      </c>
    </row>
    <row r="702" spans="1:8" ht="63" x14ac:dyDescent="0.25">
      <c r="A702" s="29" t="s">
        <v>184</v>
      </c>
      <c r="B702" s="392" t="s">
        <v>897</v>
      </c>
      <c r="C702" s="399" t="s">
        <v>150</v>
      </c>
      <c r="D702" s="399" t="s">
        <v>234</v>
      </c>
      <c r="E702" s="399" t="s">
        <v>160</v>
      </c>
      <c r="F702" s="2"/>
      <c r="G702" s="10">
        <f>'пр.6.1.ведом.22-23 (2)'!G197</f>
        <v>274</v>
      </c>
      <c r="H702" s="10">
        <f>'пр.6.1.ведом.22-23 (2)'!H197</f>
        <v>274</v>
      </c>
    </row>
    <row r="703" spans="1:8" ht="31.5" x14ac:dyDescent="0.25">
      <c r="A703" s="29" t="s">
        <v>148</v>
      </c>
      <c r="B703" s="392" t="s">
        <v>897</v>
      </c>
      <c r="C703" s="399" t="s">
        <v>150</v>
      </c>
      <c r="D703" s="399" t="s">
        <v>234</v>
      </c>
      <c r="E703" s="399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198" t="s">
        <v>1006</v>
      </c>
      <c r="B704" s="395" t="s">
        <v>878</v>
      </c>
      <c r="C704" s="399"/>
      <c r="D704" s="399"/>
      <c r="E704" s="399"/>
      <c r="F704" s="2"/>
      <c r="G704" s="10">
        <f t="shared" ref="G704:H708" si="89">G705</f>
        <v>0</v>
      </c>
      <c r="H704" s="10">
        <f t="shared" si="89"/>
        <v>0</v>
      </c>
    </row>
    <row r="705" spans="1:8" ht="15.75" hidden="1" x14ac:dyDescent="0.25">
      <c r="A705" s="29" t="s">
        <v>232</v>
      </c>
      <c r="B705" s="5" t="s">
        <v>876</v>
      </c>
      <c r="C705" s="399" t="s">
        <v>150</v>
      </c>
      <c r="D705" s="399"/>
      <c r="E705" s="399"/>
      <c r="F705" s="2"/>
      <c r="G705" s="10">
        <f t="shared" si="89"/>
        <v>0</v>
      </c>
      <c r="H705" s="10">
        <f t="shared" si="89"/>
        <v>0</v>
      </c>
    </row>
    <row r="706" spans="1:8" ht="15.75" hidden="1" x14ac:dyDescent="0.25">
      <c r="A706" s="29" t="s">
        <v>233</v>
      </c>
      <c r="B706" s="30" t="s">
        <v>876</v>
      </c>
      <c r="C706" s="399" t="s">
        <v>150</v>
      </c>
      <c r="D706" s="399" t="s">
        <v>234</v>
      </c>
      <c r="E706" s="399"/>
      <c r="F706" s="2"/>
      <c r="G706" s="10">
        <f t="shared" si="89"/>
        <v>0</v>
      </c>
      <c r="H706" s="10">
        <f t="shared" si="89"/>
        <v>0</v>
      </c>
    </row>
    <row r="707" spans="1:8" ht="15.75" hidden="1" x14ac:dyDescent="0.25">
      <c r="A707" s="396" t="s">
        <v>877</v>
      </c>
      <c r="B707" s="5" t="s">
        <v>898</v>
      </c>
      <c r="C707" s="399" t="s">
        <v>150</v>
      </c>
      <c r="D707" s="399" t="s">
        <v>234</v>
      </c>
      <c r="E707" s="399"/>
      <c r="F707" s="2"/>
      <c r="G707" s="10">
        <f t="shared" si="89"/>
        <v>0</v>
      </c>
      <c r="H707" s="10">
        <f t="shared" si="89"/>
        <v>0</v>
      </c>
    </row>
    <row r="708" spans="1:8" ht="15.75" hidden="1" x14ac:dyDescent="0.25">
      <c r="A708" s="29" t="s">
        <v>135</v>
      </c>
      <c r="B708" s="5" t="s">
        <v>898</v>
      </c>
      <c r="C708" s="399" t="s">
        <v>150</v>
      </c>
      <c r="D708" s="399" t="s">
        <v>234</v>
      </c>
      <c r="E708" s="399" t="s">
        <v>145</v>
      </c>
      <c r="F708" s="2"/>
      <c r="G708" s="10">
        <f t="shared" si="89"/>
        <v>0</v>
      </c>
      <c r="H708" s="10">
        <f t="shared" si="89"/>
        <v>0</v>
      </c>
    </row>
    <row r="709" spans="1:8" ht="63" hidden="1" x14ac:dyDescent="0.25">
      <c r="A709" s="29" t="s">
        <v>184</v>
      </c>
      <c r="B709" s="5" t="s">
        <v>898</v>
      </c>
      <c r="C709" s="399" t="s">
        <v>150</v>
      </c>
      <c r="D709" s="399" t="s">
        <v>234</v>
      </c>
      <c r="E709" s="399" t="s">
        <v>160</v>
      </c>
      <c r="F709" s="2"/>
      <c r="G709" s="10">
        <f>'пр.6.1.ведом.22-23 (2)'!G204</f>
        <v>0</v>
      </c>
      <c r="H709" s="10">
        <f>'пр.6.1.ведом.22-23 (2)'!H204</f>
        <v>0</v>
      </c>
    </row>
    <row r="710" spans="1:8" ht="31.5" hidden="1" x14ac:dyDescent="0.25">
      <c r="A710" s="29" t="s">
        <v>148</v>
      </c>
      <c r="B710" s="5" t="s">
        <v>898</v>
      </c>
      <c r="C710" s="399" t="s">
        <v>150</v>
      </c>
      <c r="D710" s="399" t="s">
        <v>234</v>
      </c>
      <c r="E710" s="399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00" t="s">
        <v>1509</v>
      </c>
      <c r="B711" s="7" t="s">
        <v>518</v>
      </c>
      <c r="C711" s="7"/>
      <c r="D711" s="7"/>
      <c r="E711" s="72"/>
      <c r="F711" s="3"/>
      <c r="G711" s="59">
        <f>G712+G719+G726+G733+G740+G747+G754</f>
        <v>700</v>
      </c>
      <c r="H711" s="59">
        <f>H712+H719+H726+H733+H740+H747+H754</f>
        <v>700</v>
      </c>
    </row>
    <row r="712" spans="1:8" ht="31.5" x14ac:dyDescent="0.25">
      <c r="A712" s="394" t="s">
        <v>962</v>
      </c>
      <c r="B712" s="395" t="s">
        <v>964</v>
      </c>
      <c r="C712" s="399"/>
      <c r="D712" s="399"/>
      <c r="E712" s="399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399" t="s">
        <v>964</v>
      </c>
      <c r="C713" s="399" t="s">
        <v>234</v>
      </c>
      <c r="D713" s="399"/>
      <c r="E713" s="73"/>
      <c r="F713" s="2"/>
      <c r="G713" s="10">
        <f t="shared" ref="G713:H713" si="90">G714</f>
        <v>700</v>
      </c>
      <c r="H713" s="10">
        <f t="shared" si="90"/>
        <v>700</v>
      </c>
    </row>
    <row r="714" spans="1:8" ht="15.75" x14ac:dyDescent="0.25">
      <c r="A714" s="29" t="s">
        <v>517</v>
      </c>
      <c r="B714" s="399" t="s">
        <v>964</v>
      </c>
      <c r="C714" s="399" t="s">
        <v>234</v>
      </c>
      <c r="D714" s="399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392" t="s">
        <v>965</v>
      </c>
      <c r="C715" s="399" t="s">
        <v>234</v>
      </c>
      <c r="D715" s="399" t="s">
        <v>213</v>
      </c>
      <c r="E715" s="399"/>
      <c r="F715" s="2"/>
      <c r="G715" s="10">
        <f t="shared" ref="G715:H716" si="91">G716</f>
        <v>700</v>
      </c>
      <c r="H715" s="10">
        <f t="shared" si="91"/>
        <v>700</v>
      </c>
    </row>
    <row r="716" spans="1:8" ht="31.5" x14ac:dyDescent="0.25">
      <c r="A716" s="31" t="s">
        <v>131</v>
      </c>
      <c r="B716" s="392" t="s">
        <v>965</v>
      </c>
      <c r="C716" s="399" t="s">
        <v>234</v>
      </c>
      <c r="D716" s="399" t="s">
        <v>213</v>
      </c>
      <c r="E716" s="399" t="s">
        <v>132</v>
      </c>
      <c r="F716" s="2"/>
      <c r="G716" s="10">
        <f t="shared" si="91"/>
        <v>700</v>
      </c>
      <c r="H716" s="10">
        <f t="shared" si="91"/>
        <v>700</v>
      </c>
    </row>
    <row r="717" spans="1:8" ht="47.25" x14ac:dyDescent="0.25">
      <c r="A717" s="31" t="s">
        <v>133</v>
      </c>
      <c r="B717" s="392" t="s">
        <v>965</v>
      </c>
      <c r="C717" s="399" t="s">
        <v>234</v>
      </c>
      <c r="D717" s="399" t="s">
        <v>213</v>
      </c>
      <c r="E717" s="399" t="s">
        <v>134</v>
      </c>
      <c r="F717" s="2"/>
      <c r="G717" s="10">
        <f>'пр.6.1.ведом.22-23 (2)'!G923</f>
        <v>700</v>
      </c>
      <c r="H717" s="10">
        <f>'пр.6.1.ведом.22-23 (2)'!H923</f>
        <v>700</v>
      </c>
    </row>
    <row r="718" spans="1:8" ht="47.25" x14ac:dyDescent="0.25">
      <c r="A718" s="45" t="s">
        <v>623</v>
      </c>
      <c r="B718" s="392" t="s">
        <v>965</v>
      </c>
      <c r="C718" s="399" t="s">
        <v>234</v>
      </c>
      <c r="D718" s="399" t="s">
        <v>213</v>
      </c>
      <c r="E718" s="399" t="s">
        <v>134</v>
      </c>
      <c r="F718" s="2">
        <v>908</v>
      </c>
      <c r="G718" s="389">
        <f>G717</f>
        <v>700</v>
      </c>
      <c r="H718" s="389">
        <f>H717</f>
        <v>700</v>
      </c>
    </row>
    <row r="719" spans="1:8" ht="31.5" hidden="1" x14ac:dyDescent="0.25">
      <c r="A719" s="34" t="s">
        <v>966</v>
      </c>
      <c r="B719" s="395" t="s">
        <v>967</v>
      </c>
      <c r="C719" s="399"/>
      <c r="D719" s="399"/>
      <c r="E719" s="399"/>
      <c r="F719" s="2"/>
      <c r="G719" s="59">
        <f>G720</f>
        <v>0</v>
      </c>
      <c r="H719" s="59">
        <f>H720</f>
        <v>0</v>
      </c>
    </row>
    <row r="720" spans="1:8" ht="15.75" hidden="1" x14ac:dyDescent="0.25">
      <c r="A720" s="29" t="s">
        <v>390</v>
      </c>
      <c r="B720" s="399" t="s">
        <v>967</v>
      </c>
      <c r="C720" s="399" t="s">
        <v>234</v>
      </c>
      <c r="D720" s="399"/>
      <c r="E720" s="73"/>
      <c r="F720" s="2"/>
      <c r="G720" s="10">
        <f t="shared" ref="G720:H720" si="92">G721</f>
        <v>0</v>
      </c>
      <c r="H720" s="10">
        <f t="shared" si="92"/>
        <v>0</v>
      </c>
    </row>
    <row r="721" spans="1:8" ht="15.75" hidden="1" x14ac:dyDescent="0.25">
      <c r="A721" s="29" t="s">
        <v>517</v>
      </c>
      <c r="B721" s="399" t="s">
        <v>967</v>
      </c>
      <c r="C721" s="399" t="s">
        <v>234</v>
      </c>
      <c r="D721" s="399" t="s">
        <v>213</v>
      </c>
      <c r="E721" s="73"/>
      <c r="F721" s="2"/>
      <c r="G721" s="10">
        <f>G722</f>
        <v>0</v>
      </c>
      <c r="H721" s="10">
        <f>H722</f>
        <v>0</v>
      </c>
    </row>
    <row r="722" spans="1:8" ht="15.75" hidden="1" x14ac:dyDescent="0.25">
      <c r="A722" s="45" t="s">
        <v>523</v>
      </c>
      <c r="B722" s="392" t="s">
        <v>970</v>
      </c>
      <c r="C722" s="399" t="s">
        <v>234</v>
      </c>
      <c r="D722" s="399" t="s">
        <v>213</v>
      </c>
      <c r="E722" s="399"/>
      <c r="F722" s="2"/>
      <c r="G722" s="10">
        <f>G723</f>
        <v>0</v>
      </c>
      <c r="H722" s="10">
        <f>H723</f>
        <v>0</v>
      </c>
    </row>
    <row r="723" spans="1:8" ht="31.5" hidden="1" x14ac:dyDescent="0.25">
      <c r="A723" s="31" t="s">
        <v>131</v>
      </c>
      <c r="B723" s="392" t="s">
        <v>970</v>
      </c>
      <c r="C723" s="399" t="s">
        <v>234</v>
      </c>
      <c r="D723" s="399" t="s">
        <v>213</v>
      </c>
      <c r="E723" s="399" t="s">
        <v>132</v>
      </c>
      <c r="F723" s="2"/>
      <c r="G723" s="10">
        <f t="shared" ref="G723:H723" si="93">G724</f>
        <v>0</v>
      </c>
      <c r="H723" s="10">
        <f t="shared" si="93"/>
        <v>0</v>
      </c>
    </row>
    <row r="724" spans="1:8" ht="47.25" hidden="1" x14ac:dyDescent="0.25">
      <c r="A724" s="31" t="s">
        <v>133</v>
      </c>
      <c r="B724" s="392" t="s">
        <v>970</v>
      </c>
      <c r="C724" s="399" t="s">
        <v>234</v>
      </c>
      <c r="D724" s="399" t="s">
        <v>213</v>
      </c>
      <c r="E724" s="399" t="s">
        <v>134</v>
      </c>
      <c r="F724" s="2"/>
      <c r="G724" s="10">
        <f>'пр.6.1.ведом.22-23 (2)'!G927</f>
        <v>0</v>
      </c>
      <c r="H724" s="10">
        <f>'пр.6.1.ведом.22-23 (2)'!H927</f>
        <v>0</v>
      </c>
    </row>
    <row r="725" spans="1:8" ht="47.25" hidden="1" x14ac:dyDescent="0.25">
      <c r="A725" s="45" t="s">
        <v>623</v>
      </c>
      <c r="B725" s="392" t="s">
        <v>970</v>
      </c>
      <c r="C725" s="399" t="s">
        <v>234</v>
      </c>
      <c r="D725" s="399" t="s">
        <v>213</v>
      </c>
      <c r="E725" s="399" t="s">
        <v>134</v>
      </c>
      <c r="F725" s="2">
        <v>908</v>
      </c>
      <c r="G725" s="389">
        <f>G724</f>
        <v>0</v>
      </c>
      <c r="H725" s="389">
        <f>H724</f>
        <v>0</v>
      </c>
    </row>
    <row r="726" spans="1:8" ht="31.5" hidden="1" x14ac:dyDescent="0.25">
      <c r="A726" s="58" t="s">
        <v>968</v>
      </c>
      <c r="B726" s="395" t="s">
        <v>969</v>
      </c>
      <c r="C726" s="399"/>
      <c r="D726" s="399"/>
      <c r="E726" s="399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399" t="s">
        <v>969</v>
      </c>
      <c r="C727" s="399" t="s">
        <v>234</v>
      </c>
      <c r="D727" s="399"/>
      <c r="E727" s="73"/>
      <c r="F727" s="2"/>
      <c r="G727" s="10">
        <f t="shared" ref="G727:H727" si="94">G728</f>
        <v>0</v>
      </c>
      <c r="H727" s="10">
        <f t="shared" si="94"/>
        <v>0</v>
      </c>
    </row>
    <row r="728" spans="1:8" ht="15.75" hidden="1" x14ac:dyDescent="0.25">
      <c r="A728" s="29" t="s">
        <v>517</v>
      </c>
      <c r="B728" s="399" t="s">
        <v>969</v>
      </c>
      <c r="C728" s="399" t="s">
        <v>234</v>
      </c>
      <c r="D728" s="399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392" t="s">
        <v>971</v>
      </c>
      <c r="C729" s="399" t="s">
        <v>234</v>
      </c>
      <c r="D729" s="399" t="s">
        <v>213</v>
      </c>
      <c r="E729" s="399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392" t="s">
        <v>971</v>
      </c>
      <c r="C730" s="399" t="s">
        <v>234</v>
      </c>
      <c r="D730" s="399" t="s">
        <v>213</v>
      </c>
      <c r="E730" s="399" t="s">
        <v>132</v>
      </c>
      <c r="F730" s="2"/>
      <c r="G730" s="10">
        <f t="shared" ref="G730:H730" si="95">G731</f>
        <v>0</v>
      </c>
      <c r="H730" s="10">
        <f t="shared" si="95"/>
        <v>0</v>
      </c>
    </row>
    <row r="731" spans="1:8" ht="47.25" hidden="1" x14ac:dyDescent="0.25">
      <c r="A731" s="31" t="s">
        <v>133</v>
      </c>
      <c r="B731" s="392" t="s">
        <v>971</v>
      </c>
      <c r="C731" s="399" t="s">
        <v>234</v>
      </c>
      <c r="D731" s="399" t="s">
        <v>213</v>
      </c>
      <c r="E731" s="399" t="s">
        <v>134</v>
      </c>
      <c r="F731" s="2"/>
      <c r="G731" s="10">
        <f>'пр.6.1.ведом.22-23 (2)'!G931</f>
        <v>0</v>
      </c>
      <c r="H731" s="10">
        <f>'пр.6.1.ведом.22-23 (2)'!H931</f>
        <v>0</v>
      </c>
    </row>
    <row r="732" spans="1:8" ht="47.25" hidden="1" x14ac:dyDescent="0.25">
      <c r="A732" s="45" t="s">
        <v>623</v>
      </c>
      <c r="B732" s="392" t="s">
        <v>971</v>
      </c>
      <c r="C732" s="399" t="s">
        <v>234</v>
      </c>
      <c r="D732" s="399" t="s">
        <v>213</v>
      </c>
      <c r="E732" s="399" t="s">
        <v>134</v>
      </c>
      <c r="F732" s="2">
        <v>908</v>
      </c>
      <c r="G732" s="389">
        <f>G731</f>
        <v>0</v>
      </c>
      <c r="H732" s="389">
        <f>H731</f>
        <v>0</v>
      </c>
    </row>
    <row r="733" spans="1:8" ht="31.5" hidden="1" x14ac:dyDescent="0.25">
      <c r="A733" s="58" t="s">
        <v>972</v>
      </c>
      <c r="B733" s="395" t="s">
        <v>973</v>
      </c>
      <c r="C733" s="399"/>
      <c r="D733" s="399"/>
      <c r="E733" s="399"/>
      <c r="F733" s="2"/>
      <c r="G733" s="59">
        <f t="shared" ref="G733:H737" si="96">G734</f>
        <v>0</v>
      </c>
      <c r="H733" s="59">
        <f t="shared" si="96"/>
        <v>0</v>
      </c>
    </row>
    <row r="734" spans="1:8" ht="15.75" hidden="1" x14ac:dyDescent="0.25">
      <c r="A734" s="29" t="s">
        <v>390</v>
      </c>
      <c r="B734" s="399" t="s">
        <v>973</v>
      </c>
      <c r="C734" s="399" t="s">
        <v>234</v>
      </c>
      <c r="D734" s="399"/>
      <c r="E734" s="73"/>
      <c r="F734" s="2"/>
      <c r="G734" s="10">
        <f t="shared" si="96"/>
        <v>0</v>
      </c>
      <c r="H734" s="10">
        <f t="shared" si="96"/>
        <v>0</v>
      </c>
    </row>
    <row r="735" spans="1:8" ht="15.75" hidden="1" x14ac:dyDescent="0.25">
      <c r="A735" s="29" t="s">
        <v>517</v>
      </c>
      <c r="B735" s="399" t="s">
        <v>973</v>
      </c>
      <c r="C735" s="399" t="s">
        <v>234</v>
      </c>
      <c r="D735" s="399" t="s">
        <v>213</v>
      </c>
      <c r="E735" s="73"/>
      <c r="F735" s="2"/>
      <c r="G735" s="10">
        <f t="shared" si="96"/>
        <v>0</v>
      </c>
      <c r="H735" s="10">
        <f t="shared" si="96"/>
        <v>0</v>
      </c>
    </row>
    <row r="736" spans="1:8" ht="31.5" hidden="1" x14ac:dyDescent="0.25">
      <c r="A736" s="45" t="s">
        <v>527</v>
      </c>
      <c r="B736" s="392" t="s">
        <v>974</v>
      </c>
      <c r="C736" s="399" t="s">
        <v>234</v>
      </c>
      <c r="D736" s="399" t="s">
        <v>213</v>
      </c>
      <c r="E736" s="399"/>
      <c r="F736" s="2"/>
      <c r="G736" s="10">
        <f t="shared" si="96"/>
        <v>0</v>
      </c>
      <c r="H736" s="10">
        <f t="shared" si="96"/>
        <v>0</v>
      </c>
    </row>
    <row r="737" spans="1:8" ht="31.5" hidden="1" x14ac:dyDescent="0.25">
      <c r="A737" s="31" t="s">
        <v>131</v>
      </c>
      <c r="B737" s="392" t="s">
        <v>974</v>
      </c>
      <c r="C737" s="399" t="s">
        <v>234</v>
      </c>
      <c r="D737" s="399" t="s">
        <v>213</v>
      </c>
      <c r="E737" s="399" t="s">
        <v>132</v>
      </c>
      <c r="F737" s="2"/>
      <c r="G737" s="10">
        <f t="shared" si="96"/>
        <v>0</v>
      </c>
      <c r="H737" s="10">
        <f t="shared" si="96"/>
        <v>0</v>
      </c>
    </row>
    <row r="738" spans="1:8" ht="47.25" hidden="1" x14ac:dyDescent="0.25">
      <c r="A738" s="31" t="s">
        <v>133</v>
      </c>
      <c r="B738" s="392" t="s">
        <v>974</v>
      </c>
      <c r="C738" s="399" t="s">
        <v>234</v>
      </c>
      <c r="D738" s="399" t="s">
        <v>213</v>
      </c>
      <c r="E738" s="399" t="s">
        <v>134</v>
      </c>
      <c r="F738" s="2"/>
      <c r="G738" s="10">
        <f>'пр.6.1.ведом.22-23 (2)'!G935</f>
        <v>0</v>
      </c>
      <c r="H738" s="10">
        <f>'пр.6.1.ведом.22-23 (2)'!H935</f>
        <v>0</v>
      </c>
    </row>
    <row r="739" spans="1:8" ht="47.25" hidden="1" x14ac:dyDescent="0.25">
      <c r="A739" s="45" t="s">
        <v>623</v>
      </c>
      <c r="B739" s="392" t="s">
        <v>974</v>
      </c>
      <c r="C739" s="399" t="s">
        <v>234</v>
      </c>
      <c r="D739" s="399" t="s">
        <v>213</v>
      </c>
      <c r="E739" s="399" t="s">
        <v>134</v>
      </c>
      <c r="F739" s="2">
        <v>908</v>
      </c>
      <c r="G739" s="389">
        <f>G738</f>
        <v>0</v>
      </c>
      <c r="H739" s="389">
        <f>H738</f>
        <v>0</v>
      </c>
    </row>
    <row r="740" spans="1:8" ht="31.5" hidden="1" x14ac:dyDescent="0.25">
      <c r="A740" s="34" t="s">
        <v>1013</v>
      </c>
      <c r="B740" s="395" t="s">
        <v>1014</v>
      </c>
      <c r="C740" s="399"/>
      <c r="D740" s="399"/>
      <c r="E740" s="399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399" t="s">
        <v>518</v>
      </c>
      <c r="C741" s="399" t="s">
        <v>234</v>
      </c>
      <c r="D741" s="399"/>
      <c r="E741" s="73"/>
      <c r="F741" s="2"/>
      <c r="G741" s="10">
        <f t="shared" ref="G741:H741" si="97">G742</f>
        <v>0</v>
      </c>
      <c r="H741" s="10">
        <f t="shared" si="97"/>
        <v>0</v>
      </c>
    </row>
    <row r="742" spans="1:8" ht="15.75" hidden="1" x14ac:dyDescent="0.25">
      <c r="A742" s="29" t="s">
        <v>517</v>
      </c>
      <c r="B742" s="399" t="s">
        <v>518</v>
      </c>
      <c r="C742" s="399" t="s">
        <v>234</v>
      </c>
      <c r="D742" s="399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392" t="s">
        <v>1017</v>
      </c>
      <c r="C743" s="399" t="s">
        <v>234</v>
      </c>
      <c r="D743" s="399" t="s">
        <v>213</v>
      </c>
      <c r="E743" s="399"/>
      <c r="F743" s="2"/>
      <c r="G743" s="10">
        <f t="shared" ref="G743:H744" si="98">G744</f>
        <v>0</v>
      </c>
      <c r="H743" s="10">
        <f t="shared" si="98"/>
        <v>0</v>
      </c>
    </row>
    <row r="744" spans="1:8" ht="31.5" hidden="1" x14ac:dyDescent="0.25">
      <c r="A744" s="31" t="s">
        <v>131</v>
      </c>
      <c r="B744" s="392" t="s">
        <v>1017</v>
      </c>
      <c r="C744" s="399" t="s">
        <v>234</v>
      </c>
      <c r="D744" s="399" t="s">
        <v>213</v>
      </c>
      <c r="E744" s="399" t="s">
        <v>132</v>
      </c>
      <c r="F744" s="2"/>
      <c r="G744" s="10">
        <f t="shared" si="98"/>
        <v>0</v>
      </c>
      <c r="H744" s="10">
        <f t="shared" si="98"/>
        <v>0</v>
      </c>
    </row>
    <row r="745" spans="1:8" ht="47.25" hidden="1" x14ac:dyDescent="0.25">
      <c r="A745" s="31" t="s">
        <v>133</v>
      </c>
      <c r="B745" s="392" t="s">
        <v>1017</v>
      </c>
      <c r="C745" s="399" t="s">
        <v>234</v>
      </c>
      <c r="D745" s="399" t="s">
        <v>213</v>
      </c>
      <c r="E745" s="399" t="s">
        <v>134</v>
      </c>
      <c r="F745" s="2"/>
      <c r="G745" s="10">
        <f>'пр.6.1.ведом.22-23 (2)'!G939</f>
        <v>0</v>
      </c>
      <c r="H745" s="10">
        <f>'пр.6.1.ведом.22-23 (2)'!H939</f>
        <v>0</v>
      </c>
    </row>
    <row r="746" spans="1:8" ht="47.25" hidden="1" x14ac:dyDescent="0.25">
      <c r="A746" s="45" t="s">
        <v>623</v>
      </c>
      <c r="B746" s="392" t="s">
        <v>1017</v>
      </c>
      <c r="C746" s="399" t="s">
        <v>234</v>
      </c>
      <c r="D746" s="399" t="s">
        <v>213</v>
      </c>
      <c r="E746" s="399" t="s">
        <v>134</v>
      </c>
      <c r="F746" s="2">
        <v>908</v>
      </c>
      <c r="G746" s="389">
        <f>G745</f>
        <v>0</v>
      </c>
      <c r="H746" s="389">
        <f>H745</f>
        <v>0</v>
      </c>
    </row>
    <row r="747" spans="1:8" ht="47.25" hidden="1" x14ac:dyDescent="0.25">
      <c r="A747" s="204" t="s">
        <v>1015</v>
      </c>
      <c r="B747" s="395" t="s">
        <v>1016</v>
      </c>
      <c r="C747" s="399"/>
      <c r="D747" s="399"/>
      <c r="E747" s="399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399" t="s">
        <v>518</v>
      </c>
      <c r="C748" s="399" t="s">
        <v>234</v>
      </c>
      <c r="D748" s="399"/>
      <c r="E748" s="73"/>
      <c r="F748" s="2"/>
      <c r="G748" s="10">
        <f t="shared" ref="G748:H748" si="99">G749</f>
        <v>0</v>
      </c>
      <c r="H748" s="10">
        <f t="shared" si="99"/>
        <v>0</v>
      </c>
    </row>
    <row r="749" spans="1:8" ht="15.75" hidden="1" x14ac:dyDescent="0.25">
      <c r="A749" s="29" t="s">
        <v>517</v>
      </c>
      <c r="B749" s="399" t="s">
        <v>518</v>
      </c>
      <c r="C749" s="399" t="s">
        <v>234</v>
      </c>
      <c r="D749" s="399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2" t="s">
        <v>531</v>
      </c>
      <c r="B750" s="392" t="s">
        <v>1018</v>
      </c>
      <c r="C750" s="399" t="s">
        <v>234</v>
      </c>
      <c r="D750" s="399" t="s">
        <v>213</v>
      </c>
      <c r="E750" s="399"/>
      <c r="F750" s="2"/>
      <c r="G750" s="10">
        <f t="shared" ref="G750:H751" si="100">G751</f>
        <v>0</v>
      </c>
      <c r="H750" s="10">
        <f t="shared" si="100"/>
        <v>0</v>
      </c>
    </row>
    <row r="751" spans="1:8" ht="31.5" hidden="1" x14ac:dyDescent="0.25">
      <c r="A751" s="31" t="s">
        <v>131</v>
      </c>
      <c r="B751" s="392" t="s">
        <v>1018</v>
      </c>
      <c r="C751" s="399" t="s">
        <v>234</v>
      </c>
      <c r="D751" s="399" t="s">
        <v>213</v>
      </c>
      <c r="E751" s="399" t="s">
        <v>132</v>
      </c>
      <c r="F751" s="2"/>
      <c r="G751" s="10">
        <f t="shared" si="100"/>
        <v>0</v>
      </c>
      <c r="H751" s="10">
        <f t="shared" si="100"/>
        <v>0</v>
      </c>
    </row>
    <row r="752" spans="1:8" ht="47.25" hidden="1" x14ac:dyDescent="0.25">
      <c r="A752" s="31" t="s">
        <v>133</v>
      </c>
      <c r="B752" s="392" t="s">
        <v>1018</v>
      </c>
      <c r="C752" s="399" t="s">
        <v>234</v>
      </c>
      <c r="D752" s="399" t="s">
        <v>213</v>
      </c>
      <c r="E752" s="399" t="s">
        <v>134</v>
      </c>
      <c r="F752" s="2"/>
      <c r="G752" s="10">
        <f>'пр.6.1.ведом.22-23 (2)'!G943</f>
        <v>0</v>
      </c>
      <c r="H752" s="10">
        <f>'пр.6.1.ведом.22-23 (2)'!H943</f>
        <v>0</v>
      </c>
    </row>
    <row r="753" spans="1:8" ht="47.25" hidden="1" x14ac:dyDescent="0.25">
      <c r="A753" s="45" t="s">
        <v>623</v>
      </c>
      <c r="B753" s="392" t="s">
        <v>1018</v>
      </c>
      <c r="C753" s="399" t="s">
        <v>234</v>
      </c>
      <c r="D753" s="399" t="s">
        <v>213</v>
      </c>
      <c r="E753" s="399" t="s">
        <v>134</v>
      </c>
      <c r="F753" s="2">
        <v>908</v>
      </c>
      <c r="G753" s="389">
        <f>G752</f>
        <v>0</v>
      </c>
      <c r="H753" s="389">
        <f>H752</f>
        <v>0</v>
      </c>
    </row>
    <row r="754" spans="1:8" ht="31.5" hidden="1" x14ac:dyDescent="0.25">
      <c r="A754" s="204" t="s">
        <v>976</v>
      </c>
      <c r="B754" s="395" t="s">
        <v>977</v>
      </c>
      <c r="C754" s="399"/>
      <c r="D754" s="399"/>
      <c r="E754" s="399"/>
      <c r="F754" s="2"/>
      <c r="G754" s="59">
        <f t="shared" ref="G754:H758" si="101">G755</f>
        <v>0</v>
      </c>
      <c r="H754" s="59">
        <f t="shared" si="101"/>
        <v>0</v>
      </c>
    </row>
    <row r="755" spans="1:8" ht="15.75" hidden="1" x14ac:dyDescent="0.25">
      <c r="A755" s="29" t="s">
        <v>390</v>
      </c>
      <c r="B755" s="399" t="s">
        <v>518</v>
      </c>
      <c r="C755" s="399" t="s">
        <v>234</v>
      </c>
      <c r="D755" s="399"/>
      <c r="E755" s="73"/>
      <c r="F755" s="2"/>
      <c r="G755" s="10">
        <f t="shared" si="101"/>
        <v>0</v>
      </c>
      <c r="H755" s="10">
        <f t="shared" si="101"/>
        <v>0</v>
      </c>
    </row>
    <row r="756" spans="1:8" ht="15.75" hidden="1" x14ac:dyDescent="0.25">
      <c r="A756" s="29" t="s">
        <v>517</v>
      </c>
      <c r="B756" s="399" t="s">
        <v>518</v>
      </c>
      <c r="C756" s="399" t="s">
        <v>234</v>
      </c>
      <c r="D756" s="399" t="s">
        <v>213</v>
      </c>
      <c r="E756" s="73"/>
      <c r="F756" s="2"/>
      <c r="G756" s="10">
        <f t="shared" si="101"/>
        <v>0</v>
      </c>
      <c r="H756" s="10">
        <f t="shared" si="101"/>
        <v>0</v>
      </c>
    </row>
    <row r="757" spans="1:8" ht="15.75" hidden="1" x14ac:dyDescent="0.25">
      <c r="A757" s="172" t="s">
        <v>533</v>
      </c>
      <c r="B757" s="392" t="s">
        <v>975</v>
      </c>
      <c r="C757" s="399" t="s">
        <v>234</v>
      </c>
      <c r="D757" s="399" t="s">
        <v>213</v>
      </c>
      <c r="E757" s="399"/>
      <c r="F757" s="2"/>
      <c r="G757" s="10">
        <f t="shared" si="101"/>
        <v>0</v>
      </c>
      <c r="H757" s="10">
        <f t="shared" si="101"/>
        <v>0</v>
      </c>
    </row>
    <row r="758" spans="1:8" ht="31.5" hidden="1" x14ac:dyDescent="0.3">
      <c r="A758" s="396" t="s">
        <v>131</v>
      </c>
      <c r="B758" s="392" t="s">
        <v>975</v>
      </c>
      <c r="C758" s="399" t="s">
        <v>234</v>
      </c>
      <c r="D758" s="399" t="s">
        <v>213</v>
      </c>
      <c r="E758" s="2">
        <v>200</v>
      </c>
      <c r="F758" s="77"/>
      <c r="G758" s="389">
        <f t="shared" si="101"/>
        <v>0</v>
      </c>
      <c r="H758" s="389">
        <f t="shared" si="101"/>
        <v>0</v>
      </c>
    </row>
    <row r="759" spans="1:8" ht="47.25" hidden="1" x14ac:dyDescent="0.3">
      <c r="A759" s="396" t="s">
        <v>133</v>
      </c>
      <c r="B759" s="392" t="s">
        <v>975</v>
      </c>
      <c r="C759" s="399" t="s">
        <v>234</v>
      </c>
      <c r="D759" s="399" t="s">
        <v>213</v>
      </c>
      <c r="E759" s="2">
        <v>240</v>
      </c>
      <c r="F759" s="77"/>
      <c r="G759" s="389">
        <f>'пр.6.1.ведом.22-23 (2)'!G947</f>
        <v>0</v>
      </c>
      <c r="H759" s="389">
        <f>'пр.6.1.ведом.22-23 (2)'!H947</f>
        <v>0</v>
      </c>
    </row>
    <row r="760" spans="1:8" ht="47.25" hidden="1" x14ac:dyDescent="0.25">
      <c r="A760" s="45" t="s">
        <v>623</v>
      </c>
      <c r="B760" s="392" t="s">
        <v>975</v>
      </c>
      <c r="C760" s="399" t="s">
        <v>234</v>
      </c>
      <c r="D760" s="399" t="s">
        <v>213</v>
      </c>
      <c r="E760" s="2">
        <v>240</v>
      </c>
      <c r="F760" s="2">
        <v>908</v>
      </c>
      <c r="G760" s="389">
        <f>G759</f>
        <v>0</v>
      </c>
      <c r="H760" s="389">
        <f>H759</f>
        <v>0</v>
      </c>
    </row>
    <row r="761" spans="1:8" ht="47.25" x14ac:dyDescent="0.25">
      <c r="A761" s="394" t="s">
        <v>1348</v>
      </c>
      <c r="B761" s="395" t="s">
        <v>335</v>
      </c>
      <c r="C761" s="7"/>
      <c r="D761" s="7"/>
      <c r="E761" s="3"/>
      <c r="F761" s="3"/>
      <c r="G761" s="388">
        <f t="shared" ref="G761:H763" si="102">G762</f>
        <v>120</v>
      </c>
      <c r="H761" s="388">
        <f t="shared" si="102"/>
        <v>120</v>
      </c>
    </row>
    <row r="762" spans="1:8" ht="31.5" x14ac:dyDescent="0.25">
      <c r="A762" s="394" t="s">
        <v>1050</v>
      </c>
      <c r="B762" s="395" t="s">
        <v>1051</v>
      </c>
      <c r="C762" s="7"/>
      <c r="D762" s="7"/>
      <c r="E762" s="3"/>
      <c r="F762" s="3"/>
      <c r="G762" s="388">
        <f t="shared" si="102"/>
        <v>120</v>
      </c>
      <c r="H762" s="388">
        <f t="shared" si="102"/>
        <v>120</v>
      </c>
    </row>
    <row r="763" spans="1:8" ht="15.75" x14ac:dyDescent="0.25">
      <c r="A763" s="29" t="s">
        <v>117</v>
      </c>
      <c r="B763" s="392" t="s">
        <v>1051</v>
      </c>
      <c r="C763" s="399" t="s">
        <v>118</v>
      </c>
      <c r="D763" s="399"/>
      <c r="E763" s="2"/>
      <c r="F763" s="2"/>
      <c r="G763" s="389">
        <f t="shared" si="102"/>
        <v>120</v>
      </c>
      <c r="H763" s="389">
        <f t="shared" si="102"/>
        <v>120</v>
      </c>
    </row>
    <row r="764" spans="1:8" ht="15.75" x14ac:dyDescent="0.25">
      <c r="A764" s="29" t="s">
        <v>139</v>
      </c>
      <c r="B764" s="392" t="s">
        <v>1051</v>
      </c>
      <c r="C764" s="399" t="s">
        <v>118</v>
      </c>
      <c r="D764" s="399" t="s">
        <v>140</v>
      </c>
      <c r="E764" s="2"/>
      <c r="F764" s="2"/>
      <c r="G764" s="389">
        <f>G765+G775+G779+G783+G787+G791</f>
        <v>120</v>
      </c>
      <c r="H764" s="389">
        <f>H765+H775+H779+H783+H787+H791</f>
        <v>120</v>
      </c>
    </row>
    <row r="765" spans="1:8" ht="31.5" x14ac:dyDescent="0.25">
      <c r="A765" s="396" t="s">
        <v>336</v>
      </c>
      <c r="B765" s="392" t="s">
        <v>1052</v>
      </c>
      <c r="C765" s="399" t="s">
        <v>118</v>
      </c>
      <c r="D765" s="399" t="s">
        <v>140</v>
      </c>
      <c r="E765" s="2"/>
      <c r="F765" s="2"/>
      <c r="G765" s="389">
        <f>G766+G769+G772</f>
        <v>100</v>
      </c>
      <c r="H765" s="389">
        <f>H766+H769+H772</f>
        <v>100</v>
      </c>
    </row>
    <row r="766" spans="1:8" ht="31.5" hidden="1" x14ac:dyDescent="0.25">
      <c r="A766" s="396" t="s">
        <v>131</v>
      </c>
      <c r="B766" s="392" t="s">
        <v>1052</v>
      </c>
      <c r="C766" s="399" t="s">
        <v>118</v>
      </c>
      <c r="D766" s="399" t="s">
        <v>140</v>
      </c>
      <c r="E766" s="2">
        <v>200</v>
      </c>
      <c r="F766" s="2"/>
      <c r="G766" s="389">
        <f t="shared" ref="G766:H766" si="103">G767</f>
        <v>0</v>
      </c>
      <c r="H766" s="389">
        <f t="shared" si="103"/>
        <v>100</v>
      </c>
    </row>
    <row r="767" spans="1:8" ht="47.25" hidden="1" x14ac:dyDescent="0.25">
      <c r="A767" s="396" t="s">
        <v>133</v>
      </c>
      <c r="B767" s="392" t="s">
        <v>1052</v>
      </c>
      <c r="C767" s="399" t="s">
        <v>118</v>
      </c>
      <c r="D767" s="399" t="s">
        <v>140</v>
      </c>
      <c r="E767" s="2">
        <v>240</v>
      </c>
      <c r="F767" s="2"/>
      <c r="G767" s="389">
        <f>'пр.6.1.ведом.22-23 (2)'!G255</f>
        <v>0</v>
      </c>
      <c r="H767" s="389">
        <f>'пр.6.1.ведом.22-23 (2)'!H255</f>
        <v>100</v>
      </c>
    </row>
    <row r="768" spans="1:8" ht="31.5" hidden="1" x14ac:dyDescent="0.25">
      <c r="A768" s="45" t="s">
        <v>403</v>
      </c>
      <c r="B768" s="392" t="s">
        <v>1052</v>
      </c>
      <c r="C768" s="399" t="s">
        <v>118</v>
      </c>
      <c r="D768" s="399" t="s">
        <v>140</v>
      </c>
      <c r="E768" s="2">
        <v>240</v>
      </c>
      <c r="F768" s="2">
        <v>903</v>
      </c>
      <c r="G768" s="389">
        <f>G767</f>
        <v>0</v>
      </c>
      <c r="H768" s="389">
        <f>H767</f>
        <v>100</v>
      </c>
    </row>
    <row r="769" spans="1:8" ht="31.5" hidden="1" x14ac:dyDescent="0.25">
      <c r="A769" s="396" t="s">
        <v>131</v>
      </c>
      <c r="B769" s="392" t="s">
        <v>1052</v>
      </c>
      <c r="C769" s="399" t="s">
        <v>118</v>
      </c>
      <c r="D769" s="399" t="s">
        <v>140</v>
      </c>
      <c r="E769" s="2">
        <v>200</v>
      </c>
      <c r="F769" s="2"/>
      <c r="G769" s="389">
        <f t="shared" ref="G769:H769" si="104">G770</f>
        <v>0</v>
      </c>
      <c r="H769" s="389">
        <f t="shared" si="104"/>
        <v>0</v>
      </c>
    </row>
    <row r="770" spans="1:8" ht="47.25" hidden="1" x14ac:dyDescent="0.25">
      <c r="A770" s="396" t="s">
        <v>133</v>
      </c>
      <c r="B770" s="392" t="s">
        <v>1052</v>
      </c>
      <c r="C770" s="399" t="s">
        <v>118</v>
      </c>
      <c r="D770" s="399" t="s">
        <v>140</v>
      </c>
      <c r="E770" s="2">
        <v>240</v>
      </c>
      <c r="F770" s="2"/>
      <c r="G770" s="389">
        <f>'пр.6.1.ведом.22-23 (2)'!G544</f>
        <v>0</v>
      </c>
      <c r="H770" s="389">
        <f>'пр.6.1.ведом.22-23 (2)'!H544</f>
        <v>0</v>
      </c>
    </row>
    <row r="771" spans="1:8" ht="31.5" hidden="1" x14ac:dyDescent="0.25">
      <c r="A771" s="45" t="s">
        <v>403</v>
      </c>
      <c r="B771" s="392" t="s">
        <v>1052</v>
      </c>
      <c r="C771" s="399" t="s">
        <v>118</v>
      </c>
      <c r="D771" s="399" t="s">
        <v>140</v>
      </c>
      <c r="E771" s="2">
        <v>240</v>
      </c>
      <c r="F771" s="2">
        <v>906</v>
      </c>
      <c r="G771" s="389">
        <f>G770</f>
        <v>0</v>
      </c>
      <c r="H771" s="389">
        <f>H770</f>
        <v>0</v>
      </c>
    </row>
    <row r="772" spans="1:8" ht="31.5" x14ac:dyDescent="0.25">
      <c r="A772" s="396" t="s">
        <v>131</v>
      </c>
      <c r="B772" s="392" t="s">
        <v>1052</v>
      </c>
      <c r="C772" s="399" t="s">
        <v>118</v>
      </c>
      <c r="D772" s="399" t="s">
        <v>140</v>
      </c>
      <c r="E772" s="2">
        <v>200</v>
      </c>
      <c r="F772" s="2"/>
      <c r="G772" s="389">
        <f t="shared" ref="G772:H772" si="105">G773</f>
        <v>100</v>
      </c>
      <c r="H772" s="389">
        <f t="shared" si="105"/>
        <v>0</v>
      </c>
    </row>
    <row r="773" spans="1:8" ht="47.25" x14ac:dyDescent="0.25">
      <c r="A773" s="396" t="s">
        <v>133</v>
      </c>
      <c r="B773" s="392" t="s">
        <v>1052</v>
      </c>
      <c r="C773" s="399" t="s">
        <v>118</v>
      </c>
      <c r="D773" s="399" t="s">
        <v>140</v>
      </c>
      <c r="E773" s="2">
        <v>240</v>
      </c>
      <c r="F773" s="2"/>
      <c r="G773" s="389">
        <f>'пр.6.1.ведом.22-23 (2)'!G763</f>
        <v>100</v>
      </c>
      <c r="H773" s="389">
        <f>'пр.6.1.ведом.22-23 (2)'!H763</f>
        <v>0</v>
      </c>
    </row>
    <row r="774" spans="1:8" ht="47.25" x14ac:dyDescent="0.25">
      <c r="A774" s="45" t="s">
        <v>480</v>
      </c>
      <c r="B774" s="392" t="s">
        <v>1052</v>
      </c>
      <c r="C774" s="399" t="s">
        <v>118</v>
      </c>
      <c r="D774" s="399" t="s">
        <v>140</v>
      </c>
      <c r="E774" s="2">
        <v>240</v>
      </c>
      <c r="F774" s="2">
        <v>907</v>
      </c>
      <c r="G774" s="389">
        <f>G773</f>
        <v>100</v>
      </c>
      <c r="H774" s="389">
        <f>H773</f>
        <v>0</v>
      </c>
    </row>
    <row r="775" spans="1:8" ht="31.5" hidden="1" x14ac:dyDescent="0.25">
      <c r="A775" s="396" t="s">
        <v>336</v>
      </c>
      <c r="B775" s="392" t="s">
        <v>1057</v>
      </c>
      <c r="C775" s="399" t="s">
        <v>118</v>
      </c>
      <c r="D775" s="399" t="s">
        <v>140</v>
      </c>
      <c r="E775" s="2"/>
      <c r="F775" s="2"/>
      <c r="G775" s="389">
        <f>G776</f>
        <v>0</v>
      </c>
      <c r="H775" s="389">
        <f>H776</f>
        <v>0</v>
      </c>
    </row>
    <row r="776" spans="1:8" ht="31.5" hidden="1" x14ac:dyDescent="0.25">
      <c r="A776" s="396" t="s">
        <v>131</v>
      </c>
      <c r="B776" s="392" t="s">
        <v>1057</v>
      </c>
      <c r="C776" s="399" t="s">
        <v>118</v>
      </c>
      <c r="D776" s="399" t="s">
        <v>140</v>
      </c>
      <c r="E776" s="2">
        <v>200</v>
      </c>
      <c r="F776" s="2"/>
      <c r="G776" s="389">
        <f t="shared" ref="G776:H776" si="106">G777</f>
        <v>0</v>
      </c>
      <c r="H776" s="389">
        <f t="shared" si="106"/>
        <v>0</v>
      </c>
    </row>
    <row r="777" spans="1:8" ht="47.25" hidden="1" x14ac:dyDescent="0.25">
      <c r="A777" s="396" t="s">
        <v>133</v>
      </c>
      <c r="B777" s="392" t="s">
        <v>1057</v>
      </c>
      <c r="C777" s="399" t="s">
        <v>118</v>
      </c>
      <c r="D777" s="399" t="s">
        <v>140</v>
      </c>
      <c r="E777" s="2">
        <v>240</v>
      </c>
      <c r="F777" s="2"/>
      <c r="G777" s="389">
        <v>0</v>
      </c>
      <c r="H777" s="389">
        <v>0</v>
      </c>
    </row>
    <row r="778" spans="1:8" ht="31.5" hidden="1" x14ac:dyDescent="0.25">
      <c r="A778" s="45" t="s">
        <v>403</v>
      </c>
      <c r="B778" s="392" t="s">
        <v>1057</v>
      </c>
      <c r="C778" s="399" t="s">
        <v>118</v>
      </c>
      <c r="D778" s="399" t="s">
        <v>140</v>
      </c>
      <c r="E778" s="2">
        <v>240</v>
      </c>
      <c r="F778" s="2">
        <v>906</v>
      </c>
      <c r="G778" s="389">
        <f>G777</f>
        <v>0</v>
      </c>
      <c r="H778" s="389">
        <f>H777</f>
        <v>0</v>
      </c>
    </row>
    <row r="779" spans="1:8" ht="31.5" x14ac:dyDescent="0.25">
      <c r="A779" s="396" t="s">
        <v>338</v>
      </c>
      <c r="B779" s="392" t="s">
        <v>1053</v>
      </c>
      <c r="C779" s="399" t="s">
        <v>118</v>
      </c>
      <c r="D779" s="399" t="s">
        <v>140</v>
      </c>
      <c r="E779" s="2"/>
      <c r="F779" s="2"/>
      <c r="G779" s="389">
        <f t="shared" ref="G779:H780" si="107">G780</f>
        <v>20</v>
      </c>
      <c r="H779" s="389">
        <f t="shared" si="107"/>
        <v>20</v>
      </c>
    </row>
    <row r="780" spans="1:8" ht="31.5" x14ac:dyDescent="0.25">
      <c r="A780" s="396" t="s">
        <v>131</v>
      </c>
      <c r="B780" s="392" t="s">
        <v>1053</v>
      </c>
      <c r="C780" s="399" t="s">
        <v>118</v>
      </c>
      <c r="D780" s="399" t="s">
        <v>140</v>
      </c>
      <c r="E780" s="2">
        <v>200</v>
      </c>
      <c r="F780" s="2"/>
      <c r="G780" s="389">
        <f t="shared" si="107"/>
        <v>20</v>
      </c>
      <c r="H780" s="389">
        <f t="shared" si="107"/>
        <v>20</v>
      </c>
    </row>
    <row r="781" spans="1:8" ht="47.25" x14ac:dyDescent="0.25">
      <c r="A781" s="396" t="s">
        <v>133</v>
      </c>
      <c r="B781" s="392" t="s">
        <v>1053</v>
      </c>
      <c r="C781" s="399" t="s">
        <v>118</v>
      </c>
      <c r="D781" s="399" t="s">
        <v>140</v>
      </c>
      <c r="E781" s="2">
        <v>240</v>
      </c>
      <c r="F781" s="2"/>
      <c r="G781" s="389">
        <f>'пр.6.1.ведом.22-23 (2)'!G264</f>
        <v>20</v>
      </c>
      <c r="H781" s="389">
        <f>'пр.6.1.ведом.22-23 (2)'!H264</f>
        <v>20</v>
      </c>
    </row>
    <row r="782" spans="1:8" ht="47.25" x14ac:dyDescent="0.25">
      <c r="A782" s="396" t="s">
        <v>1077</v>
      </c>
      <c r="B782" s="392" t="s">
        <v>1053</v>
      </c>
      <c r="C782" s="399" t="s">
        <v>118</v>
      </c>
      <c r="D782" s="399" t="s">
        <v>140</v>
      </c>
      <c r="E782" s="2">
        <v>240</v>
      </c>
      <c r="F782" s="2">
        <v>903</v>
      </c>
      <c r="G782" s="389">
        <f>G781</f>
        <v>20</v>
      </c>
      <c r="H782" s="389">
        <f>H781</f>
        <v>20</v>
      </c>
    </row>
    <row r="783" spans="1:8" ht="63" hidden="1" x14ac:dyDescent="0.25">
      <c r="A783" s="31" t="s">
        <v>771</v>
      </c>
      <c r="B783" s="392" t="s">
        <v>1054</v>
      </c>
      <c r="C783" s="399" t="s">
        <v>118</v>
      </c>
      <c r="D783" s="399" t="s">
        <v>140</v>
      </c>
      <c r="E783" s="2"/>
      <c r="F783" s="2"/>
      <c r="G783" s="389">
        <f t="shared" ref="G783:H784" si="108">G784</f>
        <v>0</v>
      </c>
      <c r="H783" s="389">
        <f t="shared" si="108"/>
        <v>0</v>
      </c>
    </row>
    <row r="784" spans="1:8" ht="31.5" hidden="1" x14ac:dyDescent="0.25">
      <c r="A784" s="396" t="s">
        <v>131</v>
      </c>
      <c r="B784" s="392" t="s">
        <v>1054</v>
      </c>
      <c r="C784" s="392" t="s">
        <v>118</v>
      </c>
      <c r="D784" s="392" t="s">
        <v>140</v>
      </c>
      <c r="E784" s="392" t="s">
        <v>132</v>
      </c>
      <c r="F784" s="175"/>
      <c r="G784" s="389">
        <f t="shared" si="108"/>
        <v>0</v>
      </c>
      <c r="H784" s="389">
        <f t="shared" si="108"/>
        <v>0</v>
      </c>
    </row>
    <row r="785" spans="1:8" ht="47.25" hidden="1" x14ac:dyDescent="0.25">
      <c r="A785" s="396" t="s">
        <v>133</v>
      </c>
      <c r="B785" s="392" t="s">
        <v>1054</v>
      </c>
      <c r="C785" s="392" t="s">
        <v>118</v>
      </c>
      <c r="D785" s="392" t="s">
        <v>140</v>
      </c>
      <c r="E785" s="392" t="s">
        <v>134</v>
      </c>
      <c r="F785" s="175"/>
      <c r="G785" s="389">
        <f>'пр.6.1.ведом.22-23 (2)'!G258</f>
        <v>0</v>
      </c>
      <c r="H785" s="389">
        <f>'пр.6.1.ведом.22-23 (2)'!H258</f>
        <v>0</v>
      </c>
    </row>
    <row r="786" spans="1:8" ht="31.5" hidden="1" x14ac:dyDescent="0.25">
      <c r="A786" s="396" t="s">
        <v>403</v>
      </c>
      <c r="B786" s="392" t="s">
        <v>1054</v>
      </c>
      <c r="C786" s="399" t="s">
        <v>118</v>
      </c>
      <c r="D786" s="399" t="s">
        <v>140</v>
      </c>
      <c r="E786" s="2">
        <v>240</v>
      </c>
      <c r="F786" s="2">
        <v>906</v>
      </c>
      <c r="G786" s="389">
        <f>G785</f>
        <v>0</v>
      </c>
      <c r="H786" s="389">
        <f>H785</f>
        <v>0</v>
      </c>
    </row>
    <row r="787" spans="1:8" ht="47.25" hidden="1" x14ac:dyDescent="0.25">
      <c r="A787" s="396" t="s">
        <v>679</v>
      </c>
      <c r="B787" s="392" t="s">
        <v>1055</v>
      </c>
      <c r="C787" s="399" t="s">
        <v>118</v>
      </c>
      <c r="D787" s="399" t="s">
        <v>140</v>
      </c>
      <c r="E787" s="2"/>
      <c r="F787" s="175"/>
      <c r="G787" s="389">
        <f t="shared" ref="G787:H788" si="109">G788</f>
        <v>0</v>
      </c>
      <c r="H787" s="389">
        <f t="shared" si="109"/>
        <v>0</v>
      </c>
    </row>
    <row r="788" spans="1:8" ht="31.5" hidden="1" x14ac:dyDescent="0.25">
      <c r="A788" s="396" t="s">
        <v>131</v>
      </c>
      <c r="B788" s="392" t="s">
        <v>1055</v>
      </c>
      <c r="C788" s="399" t="s">
        <v>118</v>
      </c>
      <c r="D788" s="399" t="s">
        <v>140</v>
      </c>
      <c r="E788" s="2">
        <v>200</v>
      </c>
      <c r="F788" s="175"/>
      <c r="G788" s="389">
        <f t="shared" si="109"/>
        <v>0</v>
      </c>
      <c r="H788" s="389">
        <f t="shared" si="109"/>
        <v>0</v>
      </c>
    </row>
    <row r="789" spans="1:8" ht="47.25" hidden="1" x14ac:dyDescent="0.25">
      <c r="A789" s="396" t="s">
        <v>133</v>
      </c>
      <c r="B789" s="392" t="s">
        <v>1055</v>
      </c>
      <c r="C789" s="399" t="s">
        <v>118</v>
      </c>
      <c r="D789" s="399" t="s">
        <v>140</v>
      </c>
      <c r="E789" s="2">
        <v>240</v>
      </c>
      <c r="F789" s="175"/>
      <c r="G789" s="389">
        <f>'пр.6.1.ведом.22-23 (2)'!G261</f>
        <v>0</v>
      </c>
      <c r="H789" s="389">
        <f>'пр.6.1.ведом.22-23 (2)'!H261</f>
        <v>0</v>
      </c>
    </row>
    <row r="790" spans="1:8" ht="47.25" hidden="1" x14ac:dyDescent="0.25">
      <c r="A790" s="45" t="s">
        <v>261</v>
      </c>
      <c r="B790" s="392" t="s">
        <v>1055</v>
      </c>
      <c r="C790" s="399" t="s">
        <v>118</v>
      </c>
      <c r="D790" s="399" t="s">
        <v>140</v>
      </c>
      <c r="E790" s="2">
        <v>240</v>
      </c>
      <c r="F790" s="2">
        <v>903</v>
      </c>
      <c r="G790" s="389">
        <f>G789</f>
        <v>0</v>
      </c>
      <c r="H790" s="389">
        <f>H789</f>
        <v>0</v>
      </c>
    </row>
    <row r="791" spans="1:8" ht="31.5" hidden="1" x14ac:dyDescent="0.25">
      <c r="A791" s="31" t="s">
        <v>772</v>
      </c>
      <c r="B791" s="392" t="s">
        <v>1056</v>
      </c>
      <c r="C791" s="392" t="s">
        <v>118</v>
      </c>
      <c r="D791" s="392" t="s">
        <v>140</v>
      </c>
      <c r="E791" s="392"/>
      <c r="F791" s="175"/>
      <c r="G791" s="389">
        <f t="shared" ref="G791:H792" si="110">G792</f>
        <v>0</v>
      </c>
      <c r="H791" s="389">
        <f t="shared" si="110"/>
        <v>0</v>
      </c>
    </row>
    <row r="792" spans="1:8" ht="31.5" hidden="1" x14ac:dyDescent="0.25">
      <c r="A792" s="396" t="s">
        <v>131</v>
      </c>
      <c r="B792" s="392" t="s">
        <v>1056</v>
      </c>
      <c r="C792" s="392" t="s">
        <v>118</v>
      </c>
      <c r="D792" s="392" t="s">
        <v>140</v>
      </c>
      <c r="E792" s="392" t="s">
        <v>132</v>
      </c>
      <c r="F792" s="175"/>
      <c r="G792" s="389">
        <f t="shared" si="110"/>
        <v>0</v>
      </c>
      <c r="H792" s="389">
        <f t="shared" si="110"/>
        <v>0</v>
      </c>
    </row>
    <row r="793" spans="1:8" ht="47.25" hidden="1" x14ac:dyDescent="0.25">
      <c r="A793" s="396" t="s">
        <v>133</v>
      </c>
      <c r="B793" s="392" t="s">
        <v>1056</v>
      </c>
      <c r="C793" s="392" t="s">
        <v>118</v>
      </c>
      <c r="D793" s="392" t="s">
        <v>140</v>
      </c>
      <c r="E793" s="392" t="s">
        <v>134</v>
      </c>
      <c r="F793" s="175"/>
      <c r="G793" s="389">
        <f>'пр.6.1.ведом.22-23 (2)'!G267</f>
        <v>0</v>
      </c>
      <c r="H793" s="389">
        <f>'пр.6.1.ведом.22-23 (2)'!H267</f>
        <v>0</v>
      </c>
    </row>
    <row r="794" spans="1:8" ht="47.25" hidden="1" x14ac:dyDescent="0.25">
      <c r="A794" s="396" t="s">
        <v>1077</v>
      </c>
      <c r="B794" s="392" t="s">
        <v>1056</v>
      </c>
      <c r="C794" s="392" t="s">
        <v>118</v>
      </c>
      <c r="D794" s="392" t="s">
        <v>140</v>
      </c>
      <c r="E794" s="392" t="s">
        <v>134</v>
      </c>
      <c r="F794" s="2">
        <v>903</v>
      </c>
      <c r="G794" s="389">
        <f>G793</f>
        <v>0</v>
      </c>
      <c r="H794" s="389">
        <f>H793</f>
        <v>0</v>
      </c>
    </row>
    <row r="795" spans="1:8" ht="63" x14ac:dyDescent="0.25">
      <c r="A795" s="400" t="s">
        <v>1351</v>
      </c>
      <c r="B795" s="395" t="s">
        <v>705</v>
      </c>
      <c r="C795" s="7"/>
      <c r="D795" s="7"/>
      <c r="E795" s="3"/>
      <c r="F795" s="3"/>
      <c r="G795" s="388">
        <f>G796+G807+G846</f>
        <v>3815</v>
      </c>
      <c r="H795" s="388">
        <f>H796+H807+H846</f>
        <v>3965.9</v>
      </c>
    </row>
    <row r="796" spans="1:8" ht="63" x14ac:dyDescent="0.25">
      <c r="A796" s="195" t="s">
        <v>845</v>
      </c>
      <c r="B796" s="395" t="s">
        <v>851</v>
      </c>
      <c r="C796" s="7"/>
      <c r="D796" s="7"/>
      <c r="E796" s="3"/>
      <c r="F796" s="3"/>
      <c r="G796" s="388">
        <f>G797</f>
        <v>33</v>
      </c>
      <c r="H796" s="388">
        <f>H797</f>
        <v>33</v>
      </c>
    </row>
    <row r="797" spans="1:8" ht="15.75" x14ac:dyDescent="0.25">
      <c r="A797" s="29" t="s">
        <v>117</v>
      </c>
      <c r="B797" s="392" t="s">
        <v>851</v>
      </c>
      <c r="C797" s="399" t="s">
        <v>118</v>
      </c>
      <c r="D797" s="399"/>
      <c r="E797" s="2"/>
      <c r="F797" s="2"/>
      <c r="G797" s="389">
        <f t="shared" ref="G797:H797" si="111">G798</f>
        <v>33</v>
      </c>
      <c r="H797" s="389">
        <f t="shared" si="111"/>
        <v>33</v>
      </c>
    </row>
    <row r="798" spans="1:8" ht="15.75" x14ac:dyDescent="0.25">
      <c r="A798" s="29" t="s">
        <v>139</v>
      </c>
      <c r="B798" s="392" t="s">
        <v>851</v>
      </c>
      <c r="C798" s="399" t="s">
        <v>118</v>
      </c>
      <c r="D798" s="399" t="s">
        <v>140</v>
      </c>
      <c r="E798" s="2"/>
      <c r="F798" s="2"/>
      <c r="G798" s="389">
        <f>G799+G803</f>
        <v>33</v>
      </c>
      <c r="H798" s="389">
        <f>H799+H803</f>
        <v>33</v>
      </c>
    </row>
    <row r="799" spans="1:8" ht="47.25" x14ac:dyDescent="0.25">
      <c r="A799" s="98" t="s">
        <v>776</v>
      </c>
      <c r="B799" s="392" t="s">
        <v>846</v>
      </c>
      <c r="C799" s="399" t="s">
        <v>118</v>
      </c>
      <c r="D799" s="399" t="s">
        <v>140</v>
      </c>
      <c r="E799" s="2"/>
      <c r="F799" s="2"/>
      <c r="G799" s="389">
        <f t="shared" ref="G799:H800" si="112">G800</f>
        <v>28</v>
      </c>
      <c r="H799" s="389">
        <f t="shared" si="112"/>
        <v>28</v>
      </c>
    </row>
    <row r="800" spans="1:8" ht="31.5" x14ac:dyDescent="0.25">
      <c r="A800" s="396" t="s">
        <v>131</v>
      </c>
      <c r="B800" s="392" t="s">
        <v>846</v>
      </c>
      <c r="C800" s="399" t="s">
        <v>118</v>
      </c>
      <c r="D800" s="399" t="s">
        <v>140</v>
      </c>
      <c r="E800" s="2">
        <v>200</v>
      </c>
      <c r="F800" s="2"/>
      <c r="G800" s="389">
        <f t="shared" si="112"/>
        <v>28</v>
      </c>
      <c r="H800" s="389">
        <f t="shared" si="112"/>
        <v>28</v>
      </c>
    </row>
    <row r="801" spans="1:8" ht="47.25" x14ac:dyDescent="0.25">
      <c r="A801" s="396" t="s">
        <v>133</v>
      </c>
      <c r="B801" s="392" t="s">
        <v>846</v>
      </c>
      <c r="C801" s="399" t="s">
        <v>118</v>
      </c>
      <c r="D801" s="399" t="s">
        <v>140</v>
      </c>
      <c r="E801" s="2">
        <v>240</v>
      </c>
      <c r="F801" s="2"/>
      <c r="G801" s="389">
        <f>'пр.6.1.ведом.22-23 (2)'!G150</f>
        <v>28</v>
      </c>
      <c r="H801" s="389">
        <f>'пр.6.1.ведом.22-23 (2)'!H150</f>
        <v>28</v>
      </c>
    </row>
    <row r="802" spans="1:8" ht="31.5" x14ac:dyDescent="0.25">
      <c r="A802" s="29" t="s">
        <v>148</v>
      </c>
      <c r="B802" s="392" t="s">
        <v>846</v>
      </c>
      <c r="C802" s="399" t="s">
        <v>118</v>
      </c>
      <c r="D802" s="399" t="s">
        <v>140</v>
      </c>
      <c r="E802" s="2">
        <v>240</v>
      </c>
      <c r="F802" s="2">
        <v>902</v>
      </c>
      <c r="G802" s="389">
        <f>G801</f>
        <v>28</v>
      </c>
      <c r="H802" s="389">
        <f>H801</f>
        <v>28</v>
      </c>
    </row>
    <row r="803" spans="1:8" ht="47.25" x14ac:dyDescent="0.25">
      <c r="A803" s="98" t="s">
        <v>776</v>
      </c>
      <c r="B803" s="392" t="s">
        <v>846</v>
      </c>
      <c r="C803" s="399" t="s">
        <v>118</v>
      </c>
      <c r="D803" s="399" t="s">
        <v>140</v>
      </c>
      <c r="E803" s="2"/>
      <c r="F803" s="2"/>
      <c r="G803" s="389">
        <f>G804</f>
        <v>5</v>
      </c>
      <c r="H803" s="389">
        <f>H804</f>
        <v>5</v>
      </c>
    </row>
    <row r="804" spans="1:8" ht="31.5" x14ac:dyDescent="0.25">
      <c r="A804" s="396" t="s">
        <v>131</v>
      </c>
      <c r="B804" s="392" t="s">
        <v>846</v>
      </c>
      <c r="C804" s="399" t="s">
        <v>118</v>
      </c>
      <c r="D804" s="399" t="s">
        <v>140</v>
      </c>
      <c r="E804" s="2">
        <v>200</v>
      </c>
      <c r="F804" s="2"/>
      <c r="G804" s="389">
        <f>G805</f>
        <v>5</v>
      </c>
      <c r="H804" s="389">
        <f>H805</f>
        <v>5</v>
      </c>
    </row>
    <row r="805" spans="1:8" ht="47.25" x14ac:dyDescent="0.25">
      <c r="A805" s="396" t="s">
        <v>133</v>
      </c>
      <c r="B805" s="392" t="s">
        <v>846</v>
      </c>
      <c r="C805" s="399" t="s">
        <v>118</v>
      </c>
      <c r="D805" s="399" t="s">
        <v>140</v>
      </c>
      <c r="E805" s="2">
        <v>240</v>
      </c>
      <c r="F805" s="2"/>
      <c r="G805" s="389">
        <f>'пр.6.1.ведом.22-23 (2)'!G272</f>
        <v>5</v>
      </c>
      <c r="H805" s="389">
        <f>'пр.6.1.ведом.22-23 (2)'!H272</f>
        <v>5</v>
      </c>
    </row>
    <row r="806" spans="1:8" ht="47.25" x14ac:dyDescent="0.25">
      <c r="A806" s="45" t="s">
        <v>261</v>
      </c>
      <c r="B806" s="392" t="s">
        <v>846</v>
      </c>
      <c r="C806" s="399" t="s">
        <v>118</v>
      </c>
      <c r="D806" s="399" t="s">
        <v>140</v>
      </c>
      <c r="E806" s="2">
        <v>240</v>
      </c>
      <c r="F806" s="2">
        <v>903</v>
      </c>
      <c r="G806" s="389">
        <f>G805</f>
        <v>5</v>
      </c>
      <c r="H806" s="389">
        <f>H805</f>
        <v>5</v>
      </c>
    </row>
    <row r="807" spans="1:8" ht="63" x14ac:dyDescent="0.25">
      <c r="A807" s="400" t="s">
        <v>889</v>
      </c>
      <c r="B807" s="395" t="s">
        <v>887</v>
      </c>
      <c r="C807" s="399"/>
      <c r="D807" s="399"/>
      <c r="E807" s="2"/>
      <c r="F807" s="2"/>
      <c r="G807" s="388">
        <f>G808+G828+G834+G840</f>
        <v>3767</v>
      </c>
      <c r="H807" s="388">
        <f>H808+H828+H834+H840</f>
        <v>3917.9</v>
      </c>
    </row>
    <row r="808" spans="1:8" ht="15.75" x14ac:dyDescent="0.25">
      <c r="A808" s="29" t="s">
        <v>263</v>
      </c>
      <c r="B808" s="392" t="s">
        <v>887</v>
      </c>
      <c r="C808" s="399" t="s">
        <v>264</v>
      </c>
      <c r="D808" s="399"/>
      <c r="E808" s="2"/>
      <c r="F808" s="2"/>
      <c r="G808" s="389">
        <f>G809+G815+G819</f>
        <v>2234.3000000000002</v>
      </c>
      <c r="H808" s="389">
        <f>H809+H815+H819</f>
        <v>2323.8000000000002</v>
      </c>
    </row>
    <row r="809" spans="1:8" ht="15.75" x14ac:dyDescent="0.25">
      <c r="A809" s="29" t="s">
        <v>404</v>
      </c>
      <c r="B809" s="392" t="s">
        <v>887</v>
      </c>
      <c r="C809" s="399" t="s">
        <v>264</v>
      </c>
      <c r="D809" s="399" t="s">
        <v>118</v>
      </c>
      <c r="E809" s="2"/>
      <c r="F809" s="2"/>
      <c r="G809" s="389">
        <f t="shared" ref="G809:H811" si="113">G810</f>
        <v>570.9</v>
      </c>
      <c r="H809" s="389">
        <f t="shared" si="113"/>
        <v>593.79999999999995</v>
      </c>
    </row>
    <row r="810" spans="1:8" ht="47.25" x14ac:dyDescent="0.25">
      <c r="A810" s="45" t="s">
        <v>780</v>
      </c>
      <c r="B810" s="392" t="s">
        <v>935</v>
      </c>
      <c r="C810" s="399" t="s">
        <v>264</v>
      </c>
      <c r="D810" s="399" t="s">
        <v>118</v>
      </c>
      <c r="E810" s="2"/>
      <c r="F810" s="2"/>
      <c r="G810" s="389">
        <f t="shared" si="113"/>
        <v>570.9</v>
      </c>
      <c r="H810" s="389">
        <f t="shared" si="113"/>
        <v>593.79999999999995</v>
      </c>
    </row>
    <row r="811" spans="1:8" ht="47.25" x14ac:dyDescent="0.25">
      <c r="A811" s="29" t="s">
        <v>272</v>
      </c>
      <c r="B811" s="392" t="s">
        <v>935</v>
      </c>
      <c r="C811" s="399" t="s">
        <v>264</v>
      </c>
      <c r="D811" s="399" t="s">
        <v>118</v>
      </c>
      <c r="E811" s="2">
        <v>600</v>
      </c>
      <c r="F811" s="2"/>
      <c r="G811" s="389">
        <f t="shared" si="113"/>
        <v>570.9</v>
      </c>
      <c r="H811" s="389">
        <f t="shared" si="113"/>
        <v>593.79999999999995</v>
      </c>
    </row>
    <row r="812" spans="1:8" ht="15.75" x14ac:dyDescent="0.25">
      <c r="A812" s="180" t="s">
        <v>274</v>
      </c>
      <c r="B812" s="392" t="s">
        <v>935</v>
      </c>
      <c r="C812" s="399" t="s">
        <v>264</v>
      </c>
      <c r="D812" s="399" t="s">
        <v>118</v>
      </c>
      <c r="E812" s="2">
        <v>610</v>
      </c>
      <c r="F812" s="2"/>
      <c r="G812" s="389">
        <f>'пр.6.1.ведом.22-23 (2)'!G608</f>
        <v>570.9</v>
      </c>
      <c r="H812" s="389">
        <f>'пр.6.1.ведом.22-23 (2)'!H608</f>
        <v>593.79999999999995</v>
      </c>
    </row>
    <row r="813" spans="1:8" ht="31.5" x14ac:dyDescent="0.25">
      <c r="A813" s="29" t="s">
        <v>403</v>
      </c>
      <c r="B813" s="392" t="s">
        <v>935</v>
      </c>
      <c r="C813" s="399" t="s">
        <v>264</v>
      </c>
      <c r="D813" s="399" t="s">
        <v>118</v>
      </c>
      <c r="E813" s="2">
        <v>610</v>
      </c>
      <c r="F813" s="2">
        <v>906</v>
      </c>
      <c r="G813" s="389">
        <f>G812</f>
        <v>570.9</v>
      </c>
      <c r="H813" s="389">
        <f>H812</f>
        <v>593.79999999999995</v>
      </c>
    </row>
    <row r="814" spans="1:8" ht="15.75" x14ac:dyDescent="0.25">
      <c r="A814" s="45" t="s">
        <v>425</v>
      </c>
      <c r="B814" s="392" t="s">
        <v>887</v>
      </c>
      <c r="C814" s="399" t="s">
        <v>264</v>
      </c>
      <c r="D814" s="399" t="s">
        <v>213</v>
      </c>
      <c r="E814" s="2"/>
      <c r="F814" s="2"/>
      <c r="G814" s="389">
        <f t="shared" ref="G814:H816" si="114">G815</f>
        <v>870.5</v>
      </c>
      <c r="H814" s="389">
        <f t="shared" si="114"/>
        <v>905.3</v>
      </c>
    </row>
    <row r="815" spans="1:8" ht="47.25" x14ac:dyDescent="0.25">
      <c r="A815" s="45" t="s">
        <v>780</v>
      </c>
      <c r="B815" s="392" t="s">
        <v>935</v>
      </c>
      <c r="C815" s="399" t="s">
        <v>264</v>
      </c>
      <c r="D815" s="399" t="s">
        <v>213</v>
      </c>
      <c r="E815" s="2"/>
      <c r="F815" s="2"/>
      <c r="G815" s="389">
        <f t="shared" si="114"/>
        <v>870.5</v>
      </c>
      <c r="H815" s="389">
        <f t="shared" si="114"/>
        <v>905.3</v>
      </c>
    </row>
    <row r="816" spans="1:8" ht="47.25" x14ac:dyDescent="0.25">
      <c r="A816" s="29" t="s">
        <v>272</v>
      </c>
      <c r="B816" s="392" t="s">
        <v>935</v>
      </c>
      <c r="C816" s="399" t="s">
        <v>264</v>
      </c>
      <c r="D816" s="399" t="s">
        <v>213</v>
      </c>
      <c r="E816" s="2">
        <v>600</v>
      </c>
      <c r="F816" s="2"/>
      <c r="G816" s="389">
        <f t="shared" si="114"/>
        <v>870.5</v>
      </c>
      <c r="H816" s="389">
        <f t="shared" si="114"/>
        <v>905.3</v>
      </c>
    </row>
    <row r="817" spans="1:8" ht="15.75" x14ac:dyDescent="0.25">
      <c r="A817" s="180" t="s">
        <v>274</v>
      </c>
      <c r="B817" s="392" t="s">
        <v>935</v>
      </c>
      <c r="C817" s="399" t="s">
        <v>264</v>
      </c>
      <c r="D817" s="399" t="s">
        <v>213</v>
      </c>
      <c r="E817" s="2">
        <v>610</v>
      </c>
      <c r="F817" s="2"/>
      <c r="G817" s="389">
        <f>'пр.6.1.ведом.22-23 (2)'!G690</f>
        <v>870.5</v>
      </c>
      <c r="H817" s="389">
        <f>'пр.6.1.ведом.22-23 (2)'!H690</f>
        <v>905.3</v>
      </c>
    </row>
    <row r="818" spans="1:8" ht="31.5" x14ac:dyDescent="0.25">
      <c r="A818" s="29" t="s">
        <v>403</v>
      </c>
      <c r="B818" s="392" t="s">
        <v>935</v>
      </c>
      <c r="C818" s="399" t="s">
        <v>264</v>
      </c>
      <c r="D818" s="399" t="s">
        <v>213</v>
      </c>
      <c r="E818" s="2">
        <v>610</v>
      </c>
      <c r="F818" s="2">
        <v>906</v>
      </c>
      <c r="G818" s="389">
        <f>G817</f>
        <v>870.5</v>
      </c>
      <c r="H818" s="389">
        <f>H817</f>
        <v>905.3</v>
      </c>
    </row>
    <row r="819" spans="1:8" ht="15.75" x14ac:dyDescent="0.25">
      <c r="A819" s="45" t="s">
        <v>265</v>
      </c>
      <c r="B819" s="392" t="s">
        <v>887</v>
      </c>
      <c r="C819" s="399" t="s">
        <v>264</v>
      </c>
      <c r="D819" s="399" t="s">
        <v>215</v>
      </c>
      <c r="E819" s="2"/>
      <c r="F819" s="2"/>
      <c r="G819" s="389">
        <f>G824+G820</f>
        <v>792.9</v>
      </c>
      <c r="H819" s="389">
        <f>H824+H820</f>
        <v>824.7</v>
      </c>
    </row>
    <row r="820" spans="1:8" ht="47.25" x14ac:dyDescent="0.25">
      <c r="A820" s="98" t="s">
        <v>1003</v>
      </c>
      <c r="B820" s="392" t="s">
        <v>888</v>
      </c>
      <c r="C820" s="399" t="s">
        <v>264</v>
      </c>
      <c r="D820" s="399" t="s">
        <v>215</v>
      </c>
      <c r="E820" s="2"/>
      <c r="F820" s="2"/>
      <c r="G820" s="389">
        <f>G821</f>
        <v>490.2</v>
      </c>
      <c r="H820" s="389">
        <f>H821</f>
        <v>509.8</v>
      </c>
    </row>
    <row r="821" spans="1:8" ht="31.5" x14ac:dyDescent="0.25">
      <c r="A821" s="396" t="s">
        <v>131</v>
      </c>
      <c r="B821" s="392" t="s">
        <v>888</v>
      </c>
      <c r="C821" s="399" t="s">
        <v>264</v>
      </c>
      <c r="D821" s="399" t="s">
        <v>215</v>
      </c>
      <c r="E821" s="2">
        <v>200</v>
      </c>
      <c r="F821" s="2"/>
      <c r="G821" s="389">
        <f>G822</f>
        <v>490.2</v>
      </c>
      <c r="H821" s="389">
        <f>H822</f>
        <v>509.8</v>
      </c>
    </row>
    <row r="822" spans="1:8" ht="47.25" x14ac:dyDescent="0.25">
      <c r="A822" s="396" t="s">
        <v>133</v>
      </c>
      <c r="B822" s="392" t="s">
        <v>888</v>
      </c>
      <c r="C822" s="399" t="s">
        <v>264</v>
      </c>
      <c r="D822" s="399" t="s">
        <v>215</v>
      </c>
      <c r="E822" s="2">
        <v>240</v>
      </c>
      <c r="F822" s="2"/>
      <c r="G822" s="389">
        <f>'пр.6.1.ведом.22-23 (2)'!G336</f>
        <v>490.2</v>
      </c>
      <c r="H822" s="389">
        <f>'пр.6.1.ведом.22-23 (2)'!H336</f>
        <v>509.8</v>
      </c>
    </row>
    <row r="823" spans="1:8" ht="47.25" x14ac:dyDescent="0.25">
      <c r="A823" s="45" t="s">
        <v>261</v>
      </c>
      <c r="B823" s="392" t="s">
        <v>888</v>
      </c>
      <c r="C823" s="399" t="s">
        <v>264</v>
      </c>
      <c r="D823" s="399" t="s">
        <v>215</v>
      </c>
      <c r="E823" s="2">
        <v>240</v>
      </c>
      <c r="F823" s="2">
        <v>903</v>
      </c>
      <c r="G823" s="389">
        <f>'пр.6.1.ведом.22-23 (2)'!G336</f>
        <v>490.2</v>
      </c>
      <c r="H823" s="389">
        <f>'пр.6.1.ведом.22-23 (2)'!H336</f>
        <v>509.8</v>
      </c>
    </row>
    <row r="824" spans="1:8" ht="47.25" x14ac:dyDescent="0.25">
      <c r="A824" s="45" t="s">
        <v>780</v>
      </c>
      <c r="B824" s="392" t="s">
        <v>935</v>
      </c>
      <c r="C824" s="399" t="s">
        <v>264</v>
      </c>
      <c r="D824" s="399" t="s">
        <v>215</v>
      </c>
      <c r="E824" s="2"/>
      <c r="F824" s="2"/>
      <c r="G824" s="389">
        <f>G825</f>
        <v>302.7</v>
      </c>
      <c r="H824" s="389">
        <f>H825</f>
        <v>314.89999999999998</v>
      </c>
    </row>
    <row r="825" spans="1:8" ht="47.25" x14ac:dyDescent="0.25">
      <c r="A825" s="29" t="s">
        <v>272</v>
      </c>
      <c r="B825" s="392" t="s">
        <v>935</v>
      </c>
      <c r="C825" s="399" t="s">
        <v>264</v>
      </c>
      <c r="D825" s="399" t="s">
        <v>215</v>
      </c>
      <c r="E825" s="2">
        <v>600</v>
      </c>
      <c r="F825" s="2"/>
      <c r="G825" s="389">
        <f>G826</f>
        <v>302.7</v>
      </c>
      <c r="H825" s="389">
        <f>H826</f>
        <v>314.89999999999998</v>
      </c>
    </row>
    <row r="826" spans="1:8" ht="15.75" x14ac:dyDescent="0.25">
      <c r="A826" s="180" t="s">
        <v>274</v>
      </c>
      <c r="B826" s="392" t="s">
        <v>935</v>
      </c>
      <c r="C826" s="399" t="s">
        <v>264</v>
      </c>
      <c r="D826" s="399" t="s">
        <v>215</v>
      </c>
      <c r="E826" s="2">
        <v>610</v>
      </c>
      <c r="F826" s="2"/>
      <c r="G826" s="389">
        <f>'пр.6.1.ведом.22-23 (2)'!G719</f>
        <v>302.7</v>
      </c>
      <c r="H826" s="389">
        <f>'пр.6.1.ведом.22-23 (2)'!H719</f>
        <v>314.89999999999998</v>
      </c>
    </row>
    <row r="827" spans="1:8" ht="31.5" x14ac:dyDescent="0.25">
      <c r="A827" s="29" t="s">
        <v>403</v>
      </c>
      <c r="B827" s="392" t="s">
        <v>935</v>
      </c>
      <c r="C827" s="399" t="s">
        <v>264</v>
      </c>
      <c r="D827" s="399" t="s">
        <v>215</v>
      </c>
      <c r="E827" s="2">
        <v>610</v>
      </c>
      <c r="F827" s="2">
        <v>906</v>
      </c>
      <c r="G827" s="389">
        <f>G826</f>
        <v>302.7</v>
      </c>
      <c r="H827" s="389">
        <f>H826</f>
        <v>314.89999999999998</v>
      </c>
    </row>
    <row r="828" spans="1:8" ht="15.75" x14ac:dyDescent="0.25">
      <c r="A828" s="396" t="s">
        <v>298</v>
      </c>
      <c r="B828" s="392" t="s">
        <v>887</v>
      </c>
      <c r="C828" s="399" t="s">
        <v>299</v>
      </c>
      <c r="D828" s="399"/>
      <c r="E828" s="2"/>
      <c r="F828" s="2"/>
      <c r="G828" s="389">
        <f t="shared" ref="G828:H831" si="115">G829</f>
        <v>878.7</v>
      </c>
      <c r="H828" s="389">
        <f t="shared" si="115"/>
        <v>913.9</v>
      </c>
    </row>
    <row r="829" spans="1:8" ht="15.75" x14ac:dyDescent="0.25">
      <c r="A829" s="396" t="s">
        <v>300</v>
      </c>
      <c r="B829" s="392" t="s">
        <v>887</v>
      </c>
      <c r="C829" s="399" t="s">
        <v>299</v>
      </c>
      <c r="D829" s="399" t="s">
        <v>118</v>
      </c>
      <c r="E829" s="2"/>
      <c r="F829" s="2"/>
      <c r="G829" s="389">
        <f t="shared" si="115"/>
        <v>878.7</v>
      </c>
      <c r="H829" s="389">
        <f t="shared" si="115"/>
        <v>913.9</v>
      </c>
    </row>
    <row r="830" spans="1:8" ht="32.25" customHeight="1" x14ac:dyDescent="0.25">
      <c r="A830" s="45" t="s">
        <v>778</v>
      </c>
      <c r="B830" s="392" t="s">
        <v>888</v>
      </c>
      <c r="C830" s="399" t="s">
        <v>299</v>
      </c>
      <c r="D830" s="399" t="s">
        <v>118</v>
      </c>
      <c r="E830" s="2"/>
      <c r="F830" s="2"/>
      <c r="G830" s="389">
        <f t="shared" si="115"/>
        <v>878.7</v>
      </c>
      <c r="H830" s="389">
        <f t="shared" si="115"/>
        <v>913.9</v>
      </c>
    </row>
    <row r="831" spans="1:8" ht="31.5" x14ac:dyDescent="0.25">
      <c r="A831" s="396" t="s">
        <v>131</v>
      </c>
      <c r="B831" s="392" t="s">
        <v>888</v>
      </c>
      <c r="C831" s="399" t="s">
        <v>299</v>
      </c>
      <c r="D831" s="399" t="s">
        <v>118</v>
      </c>
      <c r="E831" s="2">
        <v>200</v>
      </c>
      <c r="F831" s="2"/>
      <c r="G831" s="389">
        <f t="shared" si="115"/>
        <v>878.7</v>
      </c>
      <c r="H831" s="389">
        <f t="shared" si="115"/>
        <v>913.9</v>
      </c>
    </row>
    <row r="832" spans="1:8" ht="47.25" x14ac:dyDescent="0.25">
      <c r="A832" s="396" t="s">
        <v>133</v>
      </c>
      <c r="B832" s="392" t="s">
        <v>888</v>
      </c>
      <c r="C832" s="399" t="s">
        <v>299</v>
      </c>
      <c r="D832" s="399" t="s">
        <v>118</v>
      </c>
      <c r="E832" s="2">
        <v>240</v>
      </c>
      <c r="F832" s="2"/>
      <c r="G832" s="389">
        <f>'пр.6.1.ведом.22-23 (2)'!G410</f>
        <v>878.7</v>
      </c>
      <c r="H832" s="389">
        <f>'пр.6.1.ведом.22-23 (2)'!H410</f>
        <v>913.9</v>
      </c>
    </row>
    <row r="833" spans="1:8" ht="47.25" x14ac:dyDescent="0.25">
      <c r="A833" s="45" t="s">
        <v>261</v>
      </c>
      <c r="B833" s="392" t="s">
        <v>888</v>
      </c>
      <c r="C833" s="399" t="s">
        <v>299</v>
      </c>
      <c r="D833" s="399" t="s">
        <v>118</v>
      </c>
      <c r="E833" s="2">
        <v>240</v>
      </c>
      <c r="F833" s="2">
        <v>903</v>
      </c>
      <c r="G833" s="389">
        <f>G832</f>
        <v>878.7</v>
      </c>
      <c r="H833" s="389">
        <f>H832</f>
        <v>913.9</v>
      </c>
    </row>
    <row r="834" spans="1:8" ht="15.75" x14ac:dyDescent="0.25">
      <c r="A834" s="396" t="s">
        <v>490</v>
      </c>
      <c r="B834" s="392" t="s">
        <v>887</v>
      </c>
      <c r="C834" s="399" t="s">
        <v>491</v>
      </c>
      <c r="D834" s="399"/>
      <c r="E834" s="2"/>
      <c r="F834" s="2"/>
      <c r="G834" s="389">
        <f t="shared" ref="G834:H837" si="116">G835</f>
        <v>579.1</v>
      </c>
      <c r="H834" s="389">
        <f t="shared" si="116"/>
        <v>602.29999999999995</v>
      </c>
    </row>
    <row r="835" spans="1:8" ht="15.75" x14ac:dyDescent="0.25">
      <c r="A835" s="396" t="s">
        <v>1079</v>
      </c>
      <c r="B835" s="392" t="s">
        <v>887</v>
      </c>
      <c r="C835" s="399" t="s">
        <v>491</v>
      </c>
      <c r="D835" s="399" t="s">
        <v>118</v>
      </c>
      <c r="E835" s="2"/>
      <c r="F835" s="2"/>
      <c r="G835" s="389">
        <f t="shared" si="116"/>
        <v>579.1</v>
      </c>
      <c r="H835" s="389">
        <f t="shared" si="116"/>
        <v>602.29999999999995</v>
      </c>
    </row>
    <row r="836" spans="1:8" ht="47.25" x14ac:dyDescent="0.25">
      <c r="A836" s="45" t="s">
        <v>780</v>
      </c>
      <c r="B836" s="392" t="s">
        <v>935</v>
      </c>
      <c r="C836" s="399" t="s">
        <v>491</v>
      </c>
      <c r="D836" s="399" t="s">
        <v>118</v>
      </c>
      <c r="E836" s="2"/>
      <c r="F836" s="2"/>
      <c r="G836" s="389">
        <f t="shared" si="116"/>
        <v>579.1</v>
      </c>
      <c r="H836" s="389">
        <f t="shared" si="116"/>
        <v>602.29999999999995</v>
      </c>
    </row>
    <row r="837" spans="1:8" ht="47.25" x14ac:dyDescent="0.25">
      <c r="A837" s="29" t="s">
        <v>272</v>
      </c>
      <c r="B837" s="392" t="s">
        <v>935</v>
      </c>
      <c r="C837" s="399" t="s">
        <v>491</v>
      </c>
      <c r="D837" s="399" t="s">
        <v>118</v>
      </c>
      <c r="E837" s="2">
        <v>600</v>
      </c>
      <c r="F837" s="2"/>
      <c r="G837" s="389">
        <f t="shared" si="116"/>
        <v>579.1</v>
      </c>
      <c r="H837" s="389">
        <f t="shared" si="116"/>
        <v>602.29999999999995</v>
      </c>
    </row>
    <row r="838" spans="1:8" ht="15.75" x14ac:dyDescent="0.25">
      <c r="A838" s="180" t="s">
        <v>274</v>
      </c>
      <c r="B838" s="392" t="s">
        <v>935</v>
      </c>
      <c r="C838" s="399" t="s">
        <v>491</v>
      </c>
      <c r="D838" s="399" t="s">
        <v>118</v>
      </c>
      <c r="E838" s="2">
        <v>610</v>
      </c>
      <c r="F838" s="2"/>
      <c r="G838" s="389">
        <f>'пр.6.1.ведом.22-23 (2)'!G802</f>
        <v>579.1</v>
      </c>
      <c r="H838" s="389">
        <f>'пр.6.1.ведом.22-23 (2)'!H802</f>
        <v>602.29999999999995</v>
      </c>
    </row>
    <row r="839" spans="1:8" ht="47.25" x14ac:dyDescent="0.25">
      <c r="A839" s="45" t="s">
        <v>480</v>
      </c>
      <c r="B839" s="392" t="s">
        <v>935</v>
      </c>
      <c r="C839" s="399" t="s">
        <v>491</v>
      </c>
      <c r="D839" s="399" t="s">
        <v>118</v>
      </c>
      <c r="E839" s="2">
        <v>610</v>
      </c>
      <c r="F839" s="2">
        <v>907</v>
      </c>
      <c r="G839" s="389">
        <f>G838</f>
        <v>579.1</v>
      </c>
      <c r="H839" s="389">
        <f>H838</f>
        <v>602.29999999999995</v>
      </c>
    </row>
    <row r="840" spans="1:8" ht="15.75" x14ac:dyDescent="0.25">
      <c r="A840" s="29" t="s">
        <v>582</v>
      </c>
      <c r="B840" s="392" t="s">
        <v>887</v>
      </c>
      <c r="C840" s="399" t="s">
        <v>238</v>
      </c>
      <c r="D840" s="399"/>
      <c r="E840" s="2"/>
      <c r="F840" s="2"/>
      <c r="G840" s="389">
        <f t="shared" ref="G840:H843" si="117">G841</f>
        <v>74.900000000000006</v>
      </c>
      <c r="H840" s="389">
        <f t="shared" si="117"/>
        <v>77.900000000000006</v>
      </c>
    </row>
    <row r="841" spans="1:8" ht="15.75" x14ac:dyDescent="0.25">
      <c r="A841" s="29" t="s">
        <v>583</v>
      </c>
      <c r="B841" s="392" t="s">
        <v>887</v>
      </c>
      <c r="C841" s="399" t="s">
        <v>238</v>
      </c>
      <c r="D841" s="399" t="s">
        <v>213</v>
      </c>
      <c r="E841" s="2"/>
      <c r="F841" s="2"/>
      <c r="G841" s="389">
        <f t="shared" si="117"/>
        <v>74.900000000000006</v>
      </c>
      <c r="H841" s="389">
        <f t="shared" si="117"/>
        <v>77.900000000000006</v>
      </c>
    </row>
    <row r="842" spans="1:8" ht="47.25" x14ac:dyDescent="0.25">
      <c r="A842" s="45" t="s">
        <v>778</v>
      </c>
      <c r="B842" s="392" t="s">
        <v>888</v>
      </c>
      <c r="C842" s="399" t="s">
        <v>238</v>
      </c>
      <c r="D842" s="399" t="s">
        <v>213</v>
      </c>
      <c r="E842" s="2"/>
      <c r="F842" s="2"/>
      <c r="G842" s="389">
        <f t="shared" si="117"/>
        <v>74.900000000000006</v>
      </c>
      <c r="H842" s="389">
        <f t="shared" si="117"/>
        <v>77.900000000000006</v>
      </c>
    </row>
    <row r="843" spans="1:8" ht="31.5" x14ac:dyDescent="0.25">
      <c r="A843" s="396" t="s">
        <v>131</v>
      </c>
      <c r="B843" s="392" t="s">
        <v>888</v>
      </c>
      <c r="C843" s="399" t="s">
        <v>238</v>
      </c>
      <c r="D843" s="399" t="s">
        <v>213</v>
      </c>
      <c r="E843" s="2">
        <v>200</v>
      </c>
      <c r="F843" s="2"/>
      <c r="G843" s="389">
        <f t="shared" si="117"/>
        <v>74.900000000000006</v>
      </c>
      <c r="H843" s="389">
        <f t="shared" si="117"/>
        <v>77.900000000000006</v>
      </c>
    </row>
    <row r="844" spans="1:8" ht="47.25" x14ac:dyDescent="0.25">
      <c r="A844" s="396" t="s">
        <v>133</v>
      </c>
      <c r="B844" s="392" t="s">
        <v>888</v>
      </c>
      <c r="C844" s="399" t="s">
        <v>238</v>
      </c>
      <c r="D844" s="399" t="s">
        <v>213</v>
      </c>
      <c r="E844" s="2">
        <v>240</v>
      </c>
      <c r="F844" s="2"/>
      <c r="G844" s="389">
        <f>'пр.6.1.ведом.22-23 (2)'!G487</f>
        <v>74.900000000000006</v>
      </c>
      <c r="H844" s="389">
        <f>'пр.6.1.ведом.22-23 (2)'!H487</f>
        <v>77.900000000000006</v>
      </c>
    </row>
    <row r="845" spans="1:8" ht="47.25" x14ac:dyDescent="0.25">
      <c r="A845" s="45" t="s">
        <v>261</v>
      </c>
      <c r="B845" s="392" t="s">
        <v>888</v>
      </c>
      <c r="C845" s="399" t="s">
        <v>238</v>
      </c>
      <c r="D845" s="399" t="s">
        <v>213</v>
      </c>
      <c r="E845" s="2">
        <v>240</v>
      </c>
      <c r="F845" s="2">
        <v>903</v>
      </c>
      <c r="G845" s="389">
        <f>G840</f>
        <v>74.900000000000006</v>
      </c>
      <c r="H845" s="389">
        <f>H840</f>
        <v>77.900000000000006</v>
      </c>
    </row>
    <row r="846" spans="1:8" ht="47.25" x14ac:dyDescent="0.25">
      <c r="A846" s="402" t="s">
        <v>1022</v>
      </c>
      <c r="B846" s="395" t="s">
        <v>852</v>
      </c>
      <c r="C846" s="7"/>
      <c r="D846" s="7"/>
      <c r="E846" s="3"/>
      <c r="F846" s="3"/>
      <c r="G846" s="388">
        <f t="shared" ref="G846:H850" si="118">G847</f>
        <v>15</v>
      </c>
      <c r="H846" s="388">
        <f t="shared" si="118"/>
        <v>15</v>
      </c>
    </row>
    <row r="847" spans="1:8" ht="15.75" x14ac:dyDescent="0.25">
      <c r="A847" s="208" t="s">
        <v>117</v>
      </c>
      <c r="B847" s="392" t="s">
        <v>852</v>
      </c>
      <c r="C847" s="399" t="s">
        <v>118</v>
      </c>
      <c r="D847" s="399"/>
      <c r="E847" s="2"/>
      <c r="F847" s="2"/>
      <c r="G847" s="389">
        <f t="shared" si="118"/>
        <v>15</v>
      </c>
      <c r="H847" s="389">
        <f t="shared" si="118"/>
        <v>15</v>
      </c>
    </row>
    <row r="848" spans="1:8" ht="15.75" x14ac:dyDescent="0.25">
      <c r="A848" s="208" t="s">
        <v>139</v>
      </c>
      <c r="B848" s="392" t="s">
        <v>852</v>
      </c>
      <c r="C848" s="399" t="s">
        <v>118</v>
      </c>
      <c r="D848" s="399" t="s">
        <v>140</v>
      </c>
      <c r="E848" s="2"/>
      <c r="F848" s="2"/>
      <c r="G848" s="389">
        <f t="shared" si="118"/>
        <v>15</v>
      </c>
      <c r="H848" s="389">
        <f t="shared" si="118"/>
        <v>15</v>
      </c>
    </row>
    <row r="849" spans="1:8" ht="56.25" customHeight="1" x14ac:dyDescent="0.25">
      <c r="A849" s="237" t="s">
        <v>1004</v>
      </c>
      <c r="B849" s="392" t="s">
        <v>847</v>
      </c>
      <c r="C849" s="399" t="s">
        <v>118</v>
      </c>
      <c r="D849" s="399" t="s">
        <v>140</v>
      </c>
      <c r="E849" s="2"/>
      <c r="F849" s="2"/>
      <c r="G849" s="389">
        <f t="shared" si="118"/>
        <v>15</v>
      </c>
      <c r="H849" s="389">
        <f t="shared" si="118"/>
        <v>15</v>
      </c>
    </row>
    <row r="850" spans="1:8" ht="31.5" x14ac:dyDescent="0.25">
      <c r="A850" s="396" t="s">
        <v>131</v>
      </c>
      <c r="B850" s="392" t="s">
        <v>847</v>
      </c>
      <c r="C850" s="399" t="s">
        <v>118</v>
      </c>
      <c r="D850" s="399" t="s">
        <v>140</v>
      </c>
      <c r="E850" s="2">
        <v>200</v>
      </c>
      <c r="F850" s="2"/>
      <c r="G850" s="389">
        <f t="shared" si="118"/>
        <v>15</v>
      </c>
      <c r="H850" s="389">
        <f t="shared" si="118"/>
        <v>15</v>
      </c>
    </row>
    <row r="851" spans="1:8" ht="47.25" x14ac:dyDescent="0.25">
      <c r="A851" s="396" t="s">
        <v>133</v>
      </c>
      <c r="B851" s="392" t="s">
        <v>847</v>
      </c>
      <c r="C851" s="399" t="s">
        <v>118</v>
      </c>
      <c r="D851" s="399" t="s">
        <v>140</v>
      </c>
      <c r="E851" s="2">
        <v>240</v>
      </c>
      <c r="F851" s="2"/>
      <c r="G851" s="389">
        <f>'пр.6.1.ведом.22-23 (2)'!G154</f>
        <v>15</v>
      </c>
      <c r="H851" s="389">
        <f>'пр.6.1.ведом.22-23 (2)'!H154</f>
        <v>15</v>
      </c>
    </row>
    <row r="852" spans="1:8" ht="31.5" x14ac:dyDescent="0.25">
      <c r="A852" s="29" t="s">
        <v>148</v>
      </c>
      <c r="B852" s="392" t="s">
        <v>847</v>
      </c>
      <c r="C852" s="399" t="s">
        <v>118</v>
      </c>
      <c r="D852" s="399" t="s">
        <v>140</v>
      </c>
      <c r="E852" s="2">
        <v>240</v>
      </c>
      <c r="F852" s="2">
        <v>902</v>
      </c>
      <c r="G852" s="389">
        <f>G851</f>
        <v>15</v>
      </c>
      <c r="H852" s="389">
        <f>H851</f>
        <v>15</v>
      </c>
    </row>
    <row r="853" spans="1:8" ht="78.75" x14ac:dyDescent="0.25">
      <c r="A853" s="394" t="s">
        <v>1513</v>
      </c>
      <c r="B853" s="395" t="s">
        <v>711</v>
      </c>
      <c r="C853" s="7"/>
      <c r="D853" s="7"/>
      <c r="E853" s="3"/>
      <c r="F853" s="3"/>
      <c r="G853" s="388">
        <f>G854</f>
        <v>500</v>
      </c>
      <c r="H853" s="388">
        <f>H854</f>
        <v>500</v>
      </c>
    </row>
    <row r="854" spans="1:8" ht="31.5" x14ac:dyDescent="0.25">
      <c r="A854" s="394" t="s">
        <v>1067</v>
      </c>
      <c r="B854" s="395" t="s">
        <v>1088</v>
      </c>
      <c r="C854" s="7"/>
      <c r="D854" s="7"/>
      <c r="E854" s="3"/>
      <c r="F854" s="3"/>
      <c r="G854" s="388">
        <f>G855</f>
        <v>500</v>
      </c>
      <c r="H854" s="388">
        <f>H855</f>
        <v>500</v>
      </c>
    </row>
    <row r="855" spans="1:8" ht="15.75" x14ac:dyDescent="0.25">
      <c r="A855" s="396" t="s">
        <v>390</v>
      </c>
      <c r="B855" s="392" t="s">
        <v>834</v>
      </c>
      <c r="C855" s="399" t="s">
        <v>234</v>
      </c>
      <c r="D855" s="399"/>
      <c r="E855" s="2"/>
      <c r="F855" s="2"/>
      <c r="G855" s="389">
        <f t="shared" ref="G855:H858" si="119">G856</f>
        <v>500</v>
      </c>
      <c r="H855" s="389">
        <f t="shared" si="119"/>
        <v>500</v>
      </c>
    </row>
    <row r="856" spans="1:8" ht="15.75" x14ac:dyDescent="0.25">
      <c r="A856" s="396" t="s">
        <v>541</v>
      </c>
      <c r="B856" s="392" t="s">
        <v>834</v>
      </c>
      <c r="C856" s="399" t="s">
        <v>234</v>
      </c>
      <c r="D856" s="399" t="s">
        <v>215</v>
      </c>
      <c r="E856" s="2"/>
      <c r="F856" s="2"/>
      <c r="G856" s="389">
        <f t="shared" si="119"/>
        <v>500</v>
      </c>
      <c r="H856" s="389">
        <f t="shared" si="119"/>
        <v>500</v>
      </c>
    </row>
    <row r="857" spans="1:8" ht="63" x14ac:dyDescent="0.25">
      <c r="A857" s="80" t="s">
        <v>693</v>
      </c>
      <c r="B857" s="392" t="s">
        <v>834</v>
      </c>
      <c r="C857" s="399" t="s">
        <v>234</v>
      </c>
      <c r="D857" s="399" t="s">
        <v>215</v>
      </c>
      <c r="E857" s="2"/>
      <c r="F857" s="2"/>
      <c r="G857" s="389">
        <f t="shared" si="119"/>
        <v>500</v>
      </c>
      <c r="H857" s="389">
        <f t="shared" si="119"/>
        <v>500</v>
      </c>
    </row>
    <row r="858" spans="1:8" ht="31.5" x14ac:dyDescent="0.25">
      <c r="A858" s="396" t="s">
        <v>131</v>
      </c>
      <c r="B858" s="392" t="s">
        <v>834</v>
      </c>
      <c r="C858" s="399" t="s">
        <v>234</v>
      </c>
      <c r="D858" s="399" t="s">
        <v>215</v>
      </c>
      <c r="E858" s="2">
        <v>200</v>
      </c>
      <c r="F858" s="2"/>
      <c r="G858" s="389">
        <f t="shared" si="119"/>
        <v>500</v>
      </c>
      <c r="H858" s="389">
        <f t="shared" si="119"/>
        <v>500</v>
      </c>
    </row>
    <row r="859" spans="1:8" ht="47.25" x14ac:dyDescent="0.25">
      <c r="A859" s="396" t="s">
        <v>133</v>
      </c>
      <c r="B859" s="392" t="s">
        <v>834</v>
      </c>
      <c r="C859" s="399" t="s">
        <v>234</v>
      </c>
      <c r="D859" s="399" t="s">
        <v>215</v>
      </c>
      <c r="E859" s="2">
        <v>240</v>
      </c>
      <c r="F859" s="2"/>
      <c r="G859" s="389">
        <f>'пр.6.1.ведом.22-23 (2)'!G1002</f>
        <v>500</v>
      </c>
      <c r="H859" s="389">
        <f>'пр.6.1.ведом.22-23 (2)'!H1002</f>
        <v>500</v>
      </c>
    </row>
    <row r="860" spans="1:8" ht="47.25" x14ac:dyDescent="0.25">
      <c r="A860" s="45" t="s">
        <v>623</v>
      </c>
      <c r="B860" s="392" t="s">
        <v>834</v>
      </c>
      <c r="C860" s="399" t="s">
        <v>234</v>
      </c>
      <c r="D860" s="399" t="s">
        <v>215</v>
      </c>
      <c r="E860" s="2">
        <v>240</v>
      </c>
      <c r="F860" s="2">
        <v>908</v>
      </c>
      <c r="G860" s="389">
        <f>G859</f>
        <v>500</v>
      </c>
      <c r="H860" s="389">
        <f>H859</f>
        <v>500</v>
      </c>
    </row>
    <row r="861" spans="1:8" ht="78.75" hidden="1" x14ac:dyDescent="0.25">
      <c r="A861" s="58" t="s">
        <v>1353</v>
      </c>
      <c r="B861" s="395" t="s">
        <v>782</v>
      </c>
      <c r="C861" s="7"/>
      <c r="D861" s="7"/>
      <c r="E861" s="3"/>
      <c r="F861" s="3"/>
      <c r="G861" s="388">
        <f>G863</f>
        <v>0</v>
      </c>
      <c r="H861" s="388">
        <f>H863</f>
        <v>0</v>
      </c>
    </row>
    <row r="862" spans="1:8" ht="31.5" hidden="1" x14ac:dyDescent="0.25">
      <c r="A862" s="394" t="s">
        <v>929</v>
      </c>
      <c r="B862" s="395" t="s">
        <v>1019</v>
      </c>
      <c r="C862" s="7"/>
      <c r="D862" s="7"/>
      <c r="E862" s="3"/>
      <c r="F862" s="3"/>
      <c r="G862" s="388">
        <f t="shared" ref="G862:H866" si="120">G863</f>
        <v>0</v>
      </c>
      <c r="H862" s="388">
        <f t="shared" si="120"/>
        <v>0</v>
      </c>
    </row>
    <row r="863" spans="1:8" ht="15.75" hidden="1" x14ac:dyDescent="0.25">
      <c r="A863" s="45" t="s">
        <v>117</v>
      </c>
      <c r="B863" s="392" t="s">
        <v>1019</v>
      </c>
      <c r="C863" s="399" t="s">
        <v>118</v>
      </c>
      <c r="D863" s="399"/>
      <c r="E863" s="2"/>
      <c r="F863" s="2"/>
      <c r="G863" s="389">
        <f t="shared" si="120"/>
        <v>0</v>
      </c>
      <c r="H863" s="389">
        <f t="shared" si="120"/>
        <v>0</v>
      </c>
    </row>
    <row r="864" spans="1:8" ht="15.75" hidden="1" x14ac:dyDescent="0.25">
      <c r="A864" s="45" t="s">
        <v>139</v>
      </c>
      <c r="B864" s="392" t="s">
        <v>1019</v>
      </c>
      <c r="C864" s="399" t="s">
        <v>118</v>
      </c>
      <c r="D864" s="399" t="s">
        <v>140</v>
      </c>
      <c r="E864" s="2"/>
      <c r="F864" s="2"/>
      <c r="G864" s="389">
        <f t="shared" si="120"/>
        <v>0</v>
      </c>
      <c r="H864" s="389">
        <f t="shared" si="120"/>
        <v>0</v>
      </c>
    </row>
    <row r="865" spans="1:10" ht="31.5" hidden="1" x14ac:dyDescent="0.25">
      <c r="A865" s="45" t="s">
        <v>790</v>
      </c>
      <c r="B865" s="392" t="s">
        <v>1020</v>
      </c>
      <c r="C865" s="399" t="s">
        <v>118</v>
      </c>
      <c r="D865" s="399" t="s">
        <v>140</v>
      </c>
      <c r="E865" s="2"/>
      <c r="F865" s="2"/>
      <c r="G865" s="389">
        <f t="shared" si="120"/>
        <v>0</v>
      </c>
      <c r="H865" s="389">
        <f t="shared" si="120"/>
        <v>0</v>
      </c>
    </row>
    <row r="866" spans="1:10" ht="31.5" hidden="1" x14ac:dyDescent="0.25">
      <c r="A866" s="45" t="s">
        <v>131</v>
      </c>
      <c r="B866" s="392" t="s">
        <v>1020</v>
      </c>
      <c r="C866" s="399" t="s">
        <v>118</v>
      </c>
      <c r="D866" s="399" t="s">
        <v>140</v>
      </c>
      <c r="E866" s="2">
        <v>200</v>
      </c>
      <c r="F866" s="2"/>
      <c r="G866" s="389">
        <f t="shared" si="120"/>
        <v>0</v>
      </c>
      <c r="H866" s="389">
        <f t="shared" si="120"/>
        <v>0</v>
      </c>
    </row>
    <row r="867" spans="1:10" ht="47.25" hidden="1" x14ac:dyDescent="0.25">
      <c r="A867" s="45" t="s">
        <v>133</v>
      </c>
      <c r="B867" s="392" t="s">
        <v>1020</v>
      </c>
      <c r="C867" s="399" t="s">
        <v>118</v>
      </c>
      <c r="D867" s="399" t="s">
        <v>140</v>
      </c>
      <c r="E867" s="2">
        <v>240</v>
      </c>
      <c r="F867" s="2"/>
      <c r="G867" s="389">
        <f>'пр.6.1.ведом.22-23 (2)'!G520</f>
        <v>0</v>
      </c>
      <c r="H867" s="389">
        <f>'пр.6.1.ведом.22-23 (2)'!H520</f>
        <v>0</v>
      </c>
    </row>
    <row r="868" spans="1:10" ht="47.25" hidden="1" x14ac:dyDescent="0.25">
      <c r="A868" s="45" t="s">
        <v>1384</v>
      </c>
      <c r="B868" s="392" t="s">
        <v>1020</v>
      </c>
      <c r="C868" s="399" t="s">
        <v>118</v>
      </c>
      <c r="D868" s="399" t="s">
        <v>140</v>
      </c>
      <c r="E868" s="2">
        <v>240</v>
      </c>
      <c r="F868" s="2">
        <v>905</v>
      </c>
      <c r="G868" s="389">
        <f>G867</f>
        <v>0</v>
      </c>
      <c r="H868" s="389">
        <f>H867</f>
        <v>0</v>
      </c>
    </row>
    <row r="869" spans="1:10" ht="94.5" x14ac:dyDescent="0.25">
      <c r="A869" s="400" t="s">
        <v>1364</v>
      </c>
      <c r="B869" s="395" t="s">
        <v>816</v>
      </c>
      <c r="C869" s="7"/>
      <c r="D869" s="7"/>
      <c r="E869" s="3"/>
      <c r="F869" s="3"/>
      <c r="G869" s="388">
        <f>G871</f>
        <v>45</v>
      </c>
      <c r="H869" s="388">
        <f>H871</f>
        <v>50</v>
      </c>
    </row>
    <row r="870" spans="1:10" ht="47.25" x14ac:dyDescent="0.25">
      <c r="A870" s="197" t="s">
        <v>853</v>
      </c>
      <c r="B870" s="395" t="s">
        <v>1076</v>
      </c>
      <c r="C870" s="7"/>
      <c r="D870" s="7"/>
      <c r="E870" s="3"/>
      <c r="F870" s="3"/>
      <c r="G870" s="388">
        <f t="shared" ref="G870:H874" si="121">G871</f>
        <v>45</v>
      </c>
      <c r="H870" s="388">
        <f t="shared" si="121"/>
        <v>50</v>
      </c>
    </row>
    <row r="871" spans="1:10" ht="15.75" x14ac:dyDescent="0.25">
      <c r="A871" s="45" t="s">
        <v>117</v>
      </c>
      <c r="B871" s="392" t="s">
        <v>1076</v>
      </c>
      <c r="C871" s="399" t="s">
        <v>118</v>
      </c>
      <c r="D871" s="399"/>
      <c r="E871" s="2"/>
      <c r="F871" s="2"/>
      <c r="G871" s="389">
        <f t="shared" si="121"/>
        <v>45</v>
      </c>
      <c r="H871" s="389">
        <f t="shared" si="121"/>
        <v>50</v>
      </c>
    </row>
    <row r="872" spans="1:10" ht="15.75" x14ac:dyDescent="0.25">
      <c r="A872" s="45" t="s">
        <v>139</v>
      </c>
      <c r="B872" s="392" t="s">
        <v>1076</v>
      </c>
      <c r="C872" s="399" t="s">
        <v>118</v>
      </c>
      <c r="D872" s="399" t="s">
        <v>140</v>
      </c>
      <c r="E872" s="2"/>
      <c r="F872" s="2"/>
      <c r="G872" s="389">
        <f t="shared" si="121"/>
        <v>45</v>
      </c>
      <c r="H872" s="389">
        <f t="shared" si="121"/>
        <v>50</v>
      </c>
    </row>
    <row r="873" spans="1:10" ht="47.25" x14ac:dyDescent="0.25">
      <c r="A873" s="97" t="s">
        <v>171</v>
      </c>
      <c r="B873" s="392" t="s">
        <v>854</v>
      </c>
      <c r="C873" s="399" t="s">
        <v>118</v>
      </c>
      <c r="D873" s="399" t="s">
        <v>140</v>
      </c>
      <c r="E873" s="2"/>
      <c r="F873" s="2"/>
      <c r="G873" s="389">
        <f t="shared" si="121"/>
        <v>45</v>
      </c>
      <c r="H873" s="389">
        <f t="shared" si="121"/>
        <v>50</v>
      </c>
    </row>
    <row r="874" spans="1:10" ht="31.5" x14ac:dyDescent="0.25">
      <c r="A874" s="45" t="s">
        <v>131</v>
      </c>
      <c r="B874" s="392" t="s">
        <v>854</v>
      </c>
      <c r="C874" s="399" t="s">
        <v>118</v>
      </c>
      <c r="D874" s="399" t="s">
        <v>140</v>
      </c>
      <c r="E874" s="2">
        <v>200</v>
      </c>
      <c r="F874" s="2"/>
      <c r="G874" s="389">
        <f t="shared" si="121"/>
        <v>45</v>
      </c>
      <c r="H874" s="389">
        <f t="shared" si="121"/>
        <v>50</v>
      </c>
    </row>
    <row r="875" spans="1:10" ht="47.25" x14ac:dyDescent="0.25">
      <c r="A875" s="45" t="s">
        <v>133</v>
      </c>
      <c r="B875" s="392" t="s">
        <v>854</v>
      </c>
      <c r="C875" s="399" t="s">
        <v>118</v>
      </c>
      <c r="D875" s="399" t="s">
        <v>140</v>
      </c>
      <c r="E875" s="2">
        <v>240</v>
      </c>
      <c r="F875" s="2"/>
      <c r="G875" s="389">
        <f>'пр.6.1.ведом.22-23 (2)'!G159</f>
        <v>45</v>
      </c>
      <c r="H875" s="389">
        <f>'пр.6.1.ведом.22-23 (2)'!H159</f>
        <v>50</v>
      </c>
    </row>
    <row r="876" spans="1:10" ht="31.5" x14ac:dyDescent="0.25">
      <c r="A876" s="29" t="s">
        <v>148</v>
      </c>
      <c r="B876" s="392" t="s">
        <v>854</v>
      </c>
      <c r="C876" s="399" t="s">
        <v>118</v>
      </c>
      <c r="D876" s="399" t="s">
        <v>140</v>
      </c>
      <c r="E876" s="2">
        <v>240</v>
      </c>
      <c r="F876" s="2">
        <v>902</v>
      </c>
      <c r="G876" s="389">
        <f>G869</f>
        <v>45</v>
      </c>
      <c r="H876" s="389">
        <f>H869</f>
        <v>50</v>
      </c>
      <c r="J876" s="22"/>
    </row>
    <row r="877" spans="1:10" ht="78.75" x14ac:dyDescent="0.25">
      <c r="A877" s="400" t="s">
        <v>1373</v>
      </c>
      <c r="B877" s="395" t="s">
        <v>817</v>
      </c>
      <c r="C877" s="7"/>
      <c r="D877" s="7"/>
      <c r="E877" s="3"/>
      <c r="F877" s="3"/>
      <c r="G877" s="388">
        <f>G879</f>
        <v>80</v>
      </c>
      <c r="H877" s="388">
        <f>H879</f>
        <v>90</v>
      </c>
    </row>
    <row r="878" spans="1:10" ht="31.5" x14ac:dyDescent="0.25">
      <c r="A878" s="58" t="s">
        <v>855</v>
      </c>
      <c r="B878" s="395" t="s">
        <v>863</v>
      </c>
      <c r="C878" s="7"/>
      <c r="D878" s="7"/>
      <c r="E878" s="3"/>
      <c r="F878" s="3"/>
      <c r="G878" s="388">
        <f t="shared" ref="G878:H882" si="122">G879</f>
        <v>80</v>
      </c>
      <c r="H878" s="388">
        <f t="shared" si="122"/>
        <v>90</v>
      </c>
    </row>
    <row r="879" spans="1:10" ht="15.75" x14ac:dyDescent="0.25">
      <c r="A879" s="45" t="s">
        <v>117</v>
      </c>
      <c r="B879" s="392" t="s">
        <v>863</v>
      </c>
      <c r="C879" s="399" t="s">
        <v>118</v>
      </c>
      <c r="D879" s="399"/>
      <c r="E879" s="2"/>
      <c r="F879" s="2"/>
      <c r="G879" s="389">
        <f t="shared" si="122"/>
        <v>80</v>
      </c>
      <c r="H879" s="389">
        <f t="shared" si="122"/>
        <v>90</v>
      </c>
    </row>
    <row r="880" spans="1:10" ht="15.75" x14ac:dyDescent="0.25">
      <c r="A880" s="45" t="s">
        <v>139</v>
      </c>
      <c r="B880" s="392" t="s">
        <v>863</v>
      </c>
      <c r="C880" s="399" t="s">
        <v>118</v>
      </c>
      <c r="D880" s="399" t="s">
        <v>140</v>
      </c>
      <c r="E880" s="2"/>
      <c r="F880" s="2"/>
      <c r="G880" s="389">
        <f t="shared" si="122"/>
        <v>80</v>
      </c>
      <c r="H880" s="389">
        <f t="shared" si="122"/>
        <v>90</v>
      </c>
    </row>
    <row r="881" spans="1:8" ht="31.5" x14ac:dyDescent="0.25">
      <c r="A881" s="45" t="s">
        <v>175</v>
      </c>
      <c r="B881" s="392" t="s">
        <v>856</v>
      </c>
      <c r="C881" s="399" t="s">
        <v>118</v>
      </c>
      <c r="D881" s="399" t="s">
        <v>140</v>
      </c>
      <c r="E881" s="2"/>
      <c r="F881" s="2"/>
      <c r="G881" s="389">
        <f t="shared" si="122"/>
        <v>80</v>
      </c>
      <c r="H881" s="389">
        <f t="shared" si="122"/>
        <v>90</v>
      </c>
    </row>
    <row r="882" spans="1:8" ht="31.5" x14ac:dyDescent="0.25">
      <c r="A882" s="45" t="s">
        <v>131</v>
      </c>
      <c r="B882" s="392" t="s">
        <v>856</v>
      </c>
      <c r="C882" s="399" t="s">
        <v>118</v>
      </c>
      <c r="D882" s="399" t="s">
        <v>140</v>
      </c>
      <c r="E882" s="2">
        <v>200</v>
      </c>
      <c r="F882" s="2"/>
      <c r="G882" s="389">
        <f t="shared" si="122"/>
        <v>80</v>
      </c>
      <c r="H882" s="389">
        <f t="shared" si="122"/>
        <v>90</v>
      </c>
    </row>
    <row r="883" spans="1:8" ht="47.25" x14ac:dyDescent="0.25">
      <c r="A883" s="45" t="s">
        <v>133</v>
      </c>
      <c r="B883" s="392" t="s">
        <v>856</v>
      </c>
      <c r="C883" s="399" t="s">
        <v>118</v>
      </c>
      <c r="D883" s="399" t="s">
        <v>140</v>
      </c>
      <c r="E883" s="2">
        <v>240</v>
      </c>
      <c r="F883" s="2"/>
      <c r="G883" s="389">
        <f>'пр.6.1.ведом.22-23 (2)'!G164</f>
        <v>80</v>
      </c>
      <c r="H883" s="389">
        <f>'пр.6.1.ведом.22-23 (2)'!H164</f>
        <v>90</v>
      </c>
    </row>
    <row r="884" spans="1:8" ht="31.5" x14ac:dyDescent="0.25">
      <c r="A884" s="29" t="s">
        <v>148</v>
      </c>
      <c r="B884" s="392" t="s">
        <v>856</v>
      </c>
      <c r="C884" s="399" t="s">
        <v>118</v>
      </c>
      <c r="D884" s="399" t="s">
        <v>140</v>
      </c>
      <c r="E884" s="2">
        <v>240</v>
      </c>
      <c r="F884" s="2">
        <v>902</v>
      </c>
      <c r="G884" s="389">
        <f>G877</f>
        <v>80</v>
      </c>
      <c r="H884" s="389">
        <f>H877</f>
        <v>90</v>
      </c>
    </row>
    <row r="885" spans="1:8" ht="47.25" x14ac:dyDescent="0.25">
      <c r="A885" s="394" t="s">
        <v>1511</v>
      </c>
      <c r="B885" s="395" t="s">
        <v>1139</v>
      </c>
      <c r="C885" s="399"/>
      <c r="D885" s="399"/>
      <c r="E885" s="2"/>
      <c r="F885" s="2"/>
      <c r="G885" s="388">
        <f t="shared" ref="G885:H891" si="123">G886</f>
        <v>204</v>
      </c>
      <c r="H885" s="388">
        <f t="shared" si="123"/>
        <v>215</v>
      </c>
    </row>
    <row r="886" spans="1:8" ht="31.5" x14ac:dyDescent="0.25">
      <c r="A886" s="394" t="s">
        <v>1515</v>
      </c>
      <c r="B886" s="395" t="s">
        <v>1141</v>
      </c>
      <c r="C886" s="399"/>
      <c r="D886" s="399"/>
      <c r="E886" s="2"/>
      <c r="F886" s="2"/>
      <c r="G886" s="388">
        <f t="shared" si="123"/>
        <v>204</v>
      </c>
      <c r="H886" s="388">
        <f t="shared" si="123"/>
        <v>215</v>
      </c>
    </row>
    <row r="887" spans="1:8" ht="15.75" x14ac:dyDescent="0.25">
      <c r="A887" s="29" t="s">
        <v>390</v>
      </c>
      <c r="B887" s="392" t="s">
        <v>1141</v>
      </c>
      <c r="C887" s="399" t="s">
        <v>234</v>
      </c>
      <c r="D887" s="399"/>
      <c r="E887" s="2"/>
      <c r="F887" s="2"/>
      <c r="G887" s="389">
        <f t="shared" si="123"/>
        <v>204</v>
      </c>
      <c r="H887" s="389">
        <f t="shared" si="123"/>
        <v>215</v>
      </c>
    </row>
    <row r="888" spans="1:8" ht="15.75" x14ac:dyDescent="0.25">
      <c r="A888" s="29" t="s">
        <v>517</v>
      </c>
      <c r="B888" s="392" t="s">
        <v>1141</v>
      </c>
      <c r="C888" s="399" t="s">
        <v>234</v>
      </c>
      <c r="D888" s="399" t="s">
        <v>213</v>
      </c>
      <c r="E888" s="2"/>
      <c r="F888" s="2"/>
      <c r="G888" s="389">
        <f t="shared" si="123"/>
        <v>204</v>
      </c>
      <c r="H888" s="389">
        <f t="shared" si="123"/>
        <v>215</v>
      </c>
    </row>
    <row r="889" spans="1:8" ht="31.5" x14ac:dyDescent="0.25">
      <c r="A889" s="29" t="s">
        <v>1143</v>
      </c>
      <c r="B889" s="392" t="s">
        <v>1142</v>
      </c>
      <c r="C889" s="399" t="s">
        <v>234</v>
      </c>
      <c r="D889" s="399" t="s">
        <v>213</v>
      </c>
      <c r="E889" s="2"/>
      <c r="F889" s="2"/>
      <c r="G889" s="389">
        <f t="shared" si="123"/>
        <v>204</v>
      </c>
      <c r="H889" s="389">
        <f t="shared" si="123"/>
        <v>215</v>
      </c>
    </row>
    <row r="890" spans="1:8" ht="31.5" x14ac:dyDescent="0.25">
      <c r="A890" s="45" t="s">
        <v>131</v>
      </c>
      <c r="B890" s="392" t="s">
        <v>1142</v>
      </c>
      <c r="C890" s="399" t="s">
        <v>234</v>
      </c>
      <c r="D890" s="399" t="s">
        <v>213</v>
      </c>
      <c r="E890" s="2">
        <v>200</v>
      </c>
      <c r="F890" s="2"/>
      <c r="G890" s="389">
        <f t="shared" si="123"/>
        <v>204</v>
      </c>
      <c r="H890" s="389">
        <f t="shared" si="123"/>
        <v>215</v>
      </c>
    </row>
    <row r="891" spans="1:8" ht="47.25" x14ac:dyDescent="0.25">
      <c r="A891" s="45" t="s">
        <v>133</v>
      </c>
      <c r="B891" s="392" t="s">
        <v>1142</v>
      </c>
      <c r="C891" s="399" t="s">
        <v>234</v>
      </c>
      <c r="D891" s="399" t="s">
        <v>213</v>
      </c>
      <c r="E891" s="2">
        <v>240</v>
      </c>
      <c r="F891" s="2"/>
      <c r="G891" s="389">
        <f t="shared" si="123"/>
        <v>204</v>
      </c>
      <c r="H891" s="389">
        <f t="shared" si="123"/>
        <v>215</v>
      </c>
    </row>
    <row r="892" spans="1:8" ht="47.25" x14ac:dyDescent="0.25">
      <c r="A892" s="45" t="s">
        <v>623</v>
      </c>
      <c r="B892" s="392" t="s">
        <v>1142</v>
      </c>
      <c r="C892" s="399" t="s">
        <v>234</v>
      </c>
      <c r="D892" s="399" t="s">
        <v>213</v>
      </c>
      <c r="E892" s="2">
        <v>240</v>
      </c>
      <c r="F892" s="2">
        <v>908</v>
      </c>
      <c r="G892" s="389">
        <f>'пр.6.1.ведом.22-23 (2)'!G952</f>
        <v>204</v>
      </c>
      <c r="H892" s="389">
        <f>'пр.6.1.ведом.22-23 (2)'!H952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473372.89999999991</v>
      </c>
      <c r="H893" s="120">
        <f>H877+H869+H861+H853+H795+H761+H696+H644+H597+H464+H406+H398+H356+H344+H140+H30+H9+H711+H885</f>
        <v>498426.15</v>
      </c>
    </row>
    <row r="895" spans="1:8" x14ac:dyDescent="0.25">
      <c r="G895" s="22">
        <f>'пр.6.1.ведом.22-23 (2)'!G1151</f>
        <v>473372.89999999991</v>
      </c>
      <c r="H895" s="22">
        <f>'пр.6.1.ведом.22-23 (2)'!H1151</f>
        <v>498426.15</v>
      </c>
    </row>
    <row r="897" spans="7:8" x14ac:dyDescent="0.25">
      <c r="G897" s="22">
        <f>G895-G893</f>
        <v>0</v>
      </c>
      <c r="H897" s="22">
        <f>H895-H893</f>
        <v>0</v>
      </c>
    </row>
  </sheetData>
  <mergeCells count="4">
    <mergeCell ref="G1:H1"/>
    <mergeCell ref="G2:H2"/>
    <mergeCell ref="G3:H3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93" zoomScaleNormal="100" zoomScaleSheetLayoutView="93" workbookViewId="0">
      <selection activeCell="D4" sqref="D4"/>
    </sheetView>
  </sheetViews>
  <sheetFormatPr defaultRowHeight="15" x14ac:dyDescent="0.25"/>
  <cols>
    <col min="1" max="1" width="34" customWidth="1"/>
    <col min="2" max="2" width="51.7109375" customWidth="1"/>
    <col min="3" max="3" width="17.7109375" customWidth="1"/>
    <col min="4" max="4" width="16.5703125" style="387" customWidth="1"/>
    <col min="5" max="5" width="13.7109375" customWidth="1"/>
  </cols>
  <sheetData>
    <row r="1" spans="1:5" ht="15.75" x14ac:dyDescent="0.25">
      <c r="A1" s="12"/>
      <c r="C1" s="532" t="s">
        <v>1701</v>
      </c>
      <c r="D1" s="534" t="s">
        <v>1821</v>
      </c>
    </row>
    <row r="2" spans="1:5" ht="15.75" x14ac:dyDescent="0.25">
      <c r="A2" s="12"/>
      <c r="C2" s="532" t="s">
        <v>1702</v>
      </c>
      <c r="D2" s="579" t="s">
        <v>0</v>
      </c>
      <c r="E2" s="579"/>
    </row>
    <row r="3" spans="1:5" ht="15.75" x14ac:dyDescent="0.25">
      <c r="A3" s="12"/>
      <c r="C3" s="533" t="s">
        <v>1820</v>
      </c>
      <c r="D3" s="579" t="s">
        <v>1827</v>
      </c>
      <c r="E3" s="579"/>
    </row>
    <row r="4" spans="1:5" s="191" customFormat="1" ht="15.75" x14ac:dyDescent="0.25">
      <c r="A4" s="12"/>
      <c r="B4" s="12"/>
      <c r="C4" s="357"/>
      <c r="D4" s="357"/>
    </row>
    <row r="5" spans="1:5" ht="39" customHeight="1" x14ac:dyDescent="0.25">
      <c r="A5" s="575" t="s">
        <v>1819</v>
      </c>
      <c r="B5" s="575"/>
      <c r="C5" s="575"/>
      <c r="D5" s="575"/>
      <c r="E5" s="575"/>
    </row>
    <row r="6" spans="1:5" ht="15.75" x14ac:dyDescent="0.25">
      <c r="A6" s="12"/>
      <c r="B6" s="12"/>
      <c r="C6" s="83"/>
      <c r="D6" s="476"/>
    </row>
    <row r="7" spans="1:5" ht="28.5" customHeight="1" x14ac:dyDescent="0.25">
      <c r="A7" s="79" t="s">
        <v>660</v>
      </c>
      <c r="B7" s="79" t="s">
        <v>661</v>
      </c>
      <c r="C7" s="174" t="s">
        <v>1026</v>
      </c>
      <c r="D7" s="336" t="s">
        <v>1705</v>
      </c>
      <c r="E7" s="536" t="s">
        <v>1704</v>
      </c>
    </row>
    <row r="8" spans="1:5" ht="33" x14ac:dyDescent="0.25">
      <c r="A8" s="84" t="s">
        <v>662</v>
      </c>
      <c r="B8" s="85" t="s">
        <v>663</v>
      </c>
      <c r="C8" s="353">
        <f>C9-C11</f>
        <v>34877.70549000008</v>
      </c>
      <c r="D8" s="353">
        <f>D9-D11</f>
        <v>10247.055999999982</v>
      </c>
      <c r="E8" s="537"/>
    </row>
    <row r="9" spans="1:5" ht="33" customHeight="1" x14ac:dyDescent="0.25">
      <c r="A9" s="86" t="s">
        <v>664</v>
      </c>
      <c r="B9" s="87" t="s">
        <v>665</v>
      </c>
      <c r="C9" s="354">
        <f>C10</f>
        <v>41672.199999999997</v>
      </c>
      <c r="D9" s="354">
        <f>D10</f>
        <v>41672.199999999997</v>
      </c>
      <c r="E9" s="537"/>
    </row>
    <row r="10" spans="1:5" ht="31.5" x14ac:dyDescent="0.25">
      <c r="A10" s="88" t="s">
        <v>666</v>
      </c>
      <c r="B10" s="89" t="s">
        <v>667</v>
      </c>
      <c r="C10" s="355">
        <v>41672.199999999997</v>
      </c>
      <c r="D10" s="355">
        <v>41672.199999999997</v>
      </c>
      <c r="E10" s="537"/>
    </row>
    <row r="11" spans="1:5" ht="32.25" customHeight="1" x14ac:dyDescent="0.25">
      <c r="A11" s="86" t="s">
        <v>668</v>
      </c>
      <c r="B11" s="87" t="s">
        <v>669</v>
      </c>
      <c r="C11" s="353">
        <f>C12</f>
        <v>6794.4945099999168</v>
      </c>
      <c r="D11" s="353">
        <f>D12</f>
        <v>31425.144000000015</v>
      </c>
      <c r="E11" s="537"/>
    </row>
    <row r="12" spans="1:5" ht="32.65" customHeight="1" x14ac:dyDescent="0.25">
      <c r="A12" s="88" t="s">
        <v>670</v>
      </c>
      <c r="B12" s="89" t="s">
        <v>671</v>
      </c>
      <c r="C12" s="355">
        <f>C10+C18</f>
        <v>6794.4945099999168</v>
      </c>
      <c r="D12" s="355">
        <f>D10+D18</f>
        <v>31425.144000000015</v>
      </c>
      <c r="E12" s="537"/>
    </row>
    <row r="13" spans="1:5" ht="16.5" x14ac:dyDescent="0.25">
      <c r="A13" s="86" t="s">
        <v>657</v>
      </c>
      <c r="B13" s="89"/>
      <c r="C13" s="356">
        <f>C10-C12</f>
        <v>34877.70549000008</v>
      </c>
      <c r="D13" s="356">
        <f>D10-D12</f>
        <v>10247.055999999982</v>
      </c>
      <c r="E13" s="538">
        <f>D13/C13*100</f>
        <v>29.379960223983069</v>
      </c>
    </row>
    <row r="15" spans="1:5" ht="15.75" x14ac:dyDescent="0.25">
      <c r="B15" s="475" t="s">
        <v>1700</v>
      </c>
    </row>
    <row r="16" spans="1:5" x14ac:dyDescent="0.25">
      <c r="B16" t="s">
        <v>672</v>
      </c>
      <c r="C16">
        <f>[2]пр.1дох.21!C199</f>
        <v>936302.3528799999</v>
      </c>
      <c r="D16" s="387">
        <f>[2]пр.1дох.21!D199</f>
        <v>935600.41100000008</v>
      </c>
    </row>
    <row r="17" spans="2:4" x14ac:dyDescent="0.25">
      <c r="B17" t="s">
        <v>673</v>
      </c>
      <c r="C17" s="22">
        <f>'Пр.4 ведом.21'!G1245</f>
        <v>971180.05836999998</v>
      </c>
      <c r="D17" s="22">
        <f>'Пр.4 ведом.21'!H1245</f>
        <v>945847.46700000006</v>
      </c>
    </row>
    <row r="18" spans="2:4" x14ac:dyDescent="0.25">
      <c r="B18" t="s">
        <v>674</v>
      </c>
      <c r="C18" s="22">
        <f>C16-C17</f>
        <v>-34877.70549000008</v>
      </c>
      <c r="D18" s="22">
        <f>D16-D17</f>
        <v>-10247.055999999982</v>
      </c>
    </row>
    <row r="19" spans="2:4" x14ac:dyDescent="0.25">
      <c r="C19" t="s">
        <v>1585</v>
      </c>
      <c r="D19" s="387" t="s">
        <v>1585</v>
      </c>
    </row>
    <row r="22" spans="2:4" x14ac:dyDescent="0.25">
      <c r="C22" s="22">
        <f>C13-35839</f>
        <v>-961.29450999991968</v>
      </c>
      <c r="D22" s="22">
        <f>D13-35839</f>
        <v>-25591.944000000018</v>
      </c>
    </row>
  </sheetData>
  <mergeCells count="3">
    <mergeCell ref="A5:E5"/>
    <mergeCell ref="D3:E3"/>
    <mergeCell ref="D2:E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155" zoomScale="80" zoomScaleNormal="100" zoomScaleSheetLayoutView="80" workbookViewId="0">
      <selection activeCell="F115" sqref="F115"/>
    </sheetView>
  </sheetViews>
  <sheetFormatPr defaultColWidth="9.140625" defaultRowHeight="15" x14ac:dyDescent="0.25"/>
  <cols>
    <col min="1" max="1" width="25" style="387" customWidth="1"/>
    <col min="2" max="2" width="71.7109375" style="387" customWidth="1"/>
    <col min="3" max="3" width="16" style="22" customWidth="1"/>
    <col min="4" max="4" width="17.28515625" style="22" customWidth="1"/>
    <col min="5" max="5" width="12.5703125" style="387" customWidth="1"/>
    <col min="6" max="6" width="10.85546875" style="387" customWidth="1"/>
    <col min="7" max="7" width="9" style="387" customWidth="1"/>
    <col min="8" max="9" width="10.28515625" style="387" customWidth="1"/>
    <col min="10" max="10" width="11.140625" style="387" customWidth="1"/>
    <col min="11" max="11" width="9" style="387" customWidth="1"/>
    <col min="12" max="16384" width="9.140625" style="387"/>
  </cols>
  <sheetData>
    <row r="1" spans="1:11" ht="15.75" x14ac:dyDescent="0.25">
      <c r="A1" s="128"/>
      <c r="B1" s="128"/>
      <c r="C1" s="539" t="s">
        <v>1495</v>
      </c>
      <c r="D1" s="539"/>
    </row>
    <row r="2" spans="1:11" ht="15.75" x14ac:dyDescent="0.25">
      <c r="A2" s="128"/>
      <c r="B2" s="128"/>
      <c r="C2" s="539" t="s">
        <v>1494</v>
      </c>
      <c r="D2" s="539"/>
    </row>
    <row r="3" spans="1:11" ht="15.75" x14ac:dyDescent="0.25">
      <c r="A3" s="128"/>
      <c r="B3" s="130"/>
      <c r="C3" s="539" t="s">
        <v>1493</v>
      </c>
      <c r="D3" s="539"/>
    </row>
    <row r="4" spans="1:11" ht="15.75" x14ac:dyDescent="0.25">
      <c r="A4" s="548" t="s">
        <v>1132</v>
      </c>
      <c r="B4" s="548"/>
      <c r="C4" s="548"/>
      <c r="D4" s="548"/>
    </row>
    <row r="5" spans="1:11" ht="15.75" x14ac:dyDescent="0.25">
      <c r="A5" s="548" t="s">
        <v>1336</v>
      </c>
      <c r="B5" s="548"/>
      <c r="C5" s="548"/>
      <c r="D5" s="548"/>
    </row>
    <row r="6" spans="1:11" ht="15.75" x14ac:dyDescent="0.25">
      <c r="A6" s="548" t="s">
        <v>1311</v>
      </c>
      <c r="B6" s="548"/>
      <c r="C6" s="548"/>
      <c r="D6" s="548"/>
    </row>
    <row r="7" spans="1:11" ht="15.75" x14ac:dyDescent="0.25">
      <c r="A7" s="131"/>
      <c r="B7" s="131"/>
      <c r="C7" s="323"/>
      <c r="D7" s="429" t="s">
        <v>698</v>
      </c>
    </row>
    <row r="8" spans="1:11" ht="33" customHeight="1" x14ac:dyDescent="0.25">
      <c r="A8" s="132" t="s">
        <v>2</v>
      </c>
      <c r="B8" s="133" t="s">
        <v>3</v>
      </c>
      <c r="C8" s="324" t="s">
        <v>1027</v>
      </c>
      <c r="D8" s="10" t="s">
        <v>1288</v>
      </c>
      <c r="H8" s="549" t="s">
        <v>1433</v>
      </c>
      <c r="I8" s="549"/>
      <c r="J8" s="549"/>
      <c r="K8" s="549"/>
    </row>
    <row r="9" spans="1:11" ht="18.75" x14ac:dyDescent="0.25">
      <c r="A9" s="134" t="s">
        <v>5</v>
      </c>
      <c r="B9" s="135" t="s">
        <v>6</v>
      </c>
      <c r="C9" s="295">
        <f>C10+C16+C21+C31+C39+C42+C48+C55+C58+C63+C71</f>
        <v>293404.7</v>
      </c>
      <c r="D9" s="295">
        <f>D10+D16+D21+D31+D39+D42+D48+D55+D58+D63+D71</f>
        <v>303294.5</v>
      </c>
      <c r="E9" s="22">
        <f>C10+C16+C21+C31+C39</f>
        <v>243348</v>
      </c>
      <c r="F9" s="22">
        <f>D10+D16+D21+D31+D39</f>
        <v>253104</v>
      </c>
    </row>
    <row r="10" spans="1:11" ht="18.75" x14ac:dyDescent="0.25">
      <c r="A10" s="136" t="s">
        <v>7</v>
      </c>
      <c r="B10" s="135" t="s">
        <v>8</v>
      </c>
      <c r="C10" s="295">
        <f t="shared" ref="C10:D10" si="0">C11</f>
        <v>222889</v>
      </c>
      <c r="D10" s="295">
        <f t="shared" si="0"/>
        <v>231597</v>
      </c>
      <c r="E10" s="387">
        <f>(C9+C76)*2.5%</f>
        <v>12478.692500000001</v>
      </c>
      <c r="F10" s="387">
        <f>(D9+D76)*5%</f>
        <v>25451.875</v>
      </c>
      <c r="I10" s="291">
        <f>SUM(I16:I55)</f>
        <v>335.19999999999982</v>
      </c>
      <c r="J10" s="290"/>
      <c r="K10" s="291">
        <f>SUM(K16:K52)</f>
        <v>392.09999999999945</v>
      </c>
    </row>
    <row r="11" spans="1:11" ht="18.75" x14ac:dyDescent="0.25">
      <c r="A11" s="137" t="s">
        <v>9</v>
      </c>
      <c r="B11" s="138" t="s">
        <v>10</v>
      </c>
      <c r="C11" s="295">
        <f t="shared" ref="C11:D11" si="1">SUM(C12:C15)</f>
        <v>222889</v>
      </c>
      <c r="D11" s="295">
        <f t="shared" si="1"/>
        <v>231597</v>
      </c>
    </row>
    <row r="12" spans="1:11" ht="64.5" customHeight="1" x14ac:dyDescent="0.25">
      <c r="A12" s="190" t="s">
        <v>11</v>
      </c>
      <c r="B12" s="139" t="s">
        <v>12</v>
      </c>
      <c r="C12" s="300">
        <v>220139</v>
      </c>
      <c r="D12" s="300">
        <v>228667</v>
      </c>
    </row>
    <row r="13" spans="1:11" ht="110.25" x14ac:dyDescent="0.25">
      <c r="A13" s="190" t="s">
        <v>13</v>
      </c>
      <c r="B13" s="140" t="s">
        <v>14</v>
      </c>
      <c r="C13" s="300">
        <v>916</v>
      </c>
      <c r="D13" s="300">
        <v>978</v>
      </c>
    </row>
    <row r="14" spans="1:11" ht="47.25" x14ac:dyDescent="0.25">
      <c r="A14" s="190" t="s">
        <v>15</v>
      </c>
      <c r="B14" s="140" t="s">
        <v>16</v>
      </c>
      <c r="C14" s="300">
        <v>1257</v>
      </c>
      <c r="D14" s="300">
        <v>1343</v>
      </c>
    </row>
    <row r="15" spans="1:11" ht="78.75" x14ac:dyDescent="0.25">
      <c r="A15" s="190" t="s">
        <v>17</v>
      </c>
      <c r="B15" s="140" t="s">
        <v>18</v>
      </c>
      <c r="C15" s="300">
        <v>577</v>
      </c>
      <c r="D15" s="300">
        <v>609</v>
      </c>
    </row>
    <row r="16" spans="1:11" ht="31.5" x14ac:dyDescent="0.25">
      <c r="A16" s="141" t="s">
        <v>19</v>
      </c>
      <c r="B16" s="142" t="s">
        <v>20</v>
      </c>
      <c r="C16" s="295">
        <f t="shared" ref="C16:D16" si="2">C17</f>
        <v>2319</v>
      </c>
      <c r="D16" s="295">
        <f t="shared" si="2"/>
        <v>2319</v>
      </c>
      <c r="H16" s="291">
        <v>3288</v>
      </c>
      <c r="I16" s="291">
        <f>H16-C16</f>
        <v>969</v>
      </c>
      <c r="J16" s="291">
        <v>3345</v>
      </c>
      <c r="K16" s="291">
        <f>J16-D16</f>
        <v>1026</v>
      </c>
    </row>
    <row r="17" spans="1:11" ht="31.5" x14ac:dyDescent="0.25">
      <c r="A17" s="178" t="s">
        <v>21</v>
      </c>
      <c r="B17" s="179" t="s">
        <v>22</v>
      </c>
      <c r="C17" s="295">
        <f t="shared" ref="C17:D17" si="3">SUM(C18:C20)</f>
        <v>2319</v>
      </c>
      <c r="D17" s="295">
        <f t="shared" si="3"/>
        <v>2319</v>
      </c>
      <c r="K17" s="290"/>
    </row>
    <row r="18" spans="1:11" ht="63" x14ac:dyDescent="0.25">
      <c r="A18" s="143" t="s">
        <v>1607</v>
      </c>
      <c r="B18" s="140" t="s">
        <v>1608</v>
      </c>
      <c r="C18" s="300">
        <f>1382.2-205.4</f>
        <v>1176.8</v>
      </c>
      <c r="D18" s="300">
        <f>1382.2-205.4</f>
        <v>1176.8</v>
      </c>
      <c r="K18" s="290"/>
    </row>
    <row r="19" spans="1:11" ht="78.75" x14ac:dyDescent="0.25">
      <c r="A19" s="433" t="s">
        <v>1609</v>
      </c>
      <c r="B19" s="140" t="s">
        <v>1610</v>
      </c>
      <c r="C19" s="300">
        <v>6.9</v>
      </c>
      <c r="D19" s="300">
        <v>6.9</v>
      </c>
      <c r="K19" s="290"/>
    </row>
    <row r="20" spans="1:11" ht="63" x14ac:dyDescent="0.25">
      <c r="A20" s="433" t="s">
        <v>1611</v>
      </c>
      <c r="B20" s="140" t="s">
        <v>1612</v>
      </c>
      <c r="C20" s="300">
        <f>1800.3-665</f>
        <v>1135.3</v>
      </c>
      <c r="D20" s="300">
        <f>1800.3-665</f>
        <v>1135.3</v>
      </c>
      <c r="K20" s="290"/>
    </row>
    <row r="21" spans="1:11" ht="18.75" x14ac:dyDescent="0.25">
      <c r="A21" s="137" t="s">
        <v>23</v>
      </c>
      <c r="B21" s="138" t="s">
        <v>24</v>
      </c>
      <c r="C21" s="295">
        <f>SUM(C22+C27+C29)</f>
        <v>14911</v>
      </c>
      <c r="D21" s="295">
        <f>SUM(D22+D27+D29)</f>
        <v>15831</v>
      </c>
      <c r="K21" s="290"/>
    </row>
    <row r="22" spans="1:11" ht="31.5" x14ac:dyDescent="0.25">
      <c r="A22" s="134" t="s">
        <v>25</v>
      </c>
      <c r="B22" s="138" t="s">
        <v>26</v>
      </c>
      <c r="C22" s="295">
        <f>C23+C25</f>
        <v>14519</v>
      </c>
      <c r="D22" s="295">
        <f>D23+D25</f>
        <v>15414</v>
      </c>
      <c r="H22" s="291">
        <v>14519</v>
      </c>
      <c r="I22" s="291">
        <f>H22-C22</f>
        <v>0</v>
      </c>
      <c r="J22" s="291">
        <v>15413.9</v>
      </c>
      <c r="K22" s="291">
        <f>J22-D22</f>
        <v>-0.1000000000003638</v>
      </c>
    </row>
    <row r="23" spans="1:11" ht="31.5" x14ac:dyDescent="0.25">
      <c r="A23" s="134" t="s">
        <v>1116</v>
      </c>
      <c r="B23" s="195" t="s">
        <v>28</v>
      </c>
      <c r="C23" s="295">
        <f>C24</f>
        <v>7259.5</v>
      </c>
      <c r="D23" s="295">
        <f>D24</f>
        <v>7707</v>
      </c>
      <c r="K23" s="290"/>
    </row>
    <row r="24" spans="1:11" ht="31.5" x14ac:dyDescent="0.25">
      <c r="A24" s="132" t="s">
        <v>27</v>
      </c>
      <c r="B24" s="144" t="s">
        <v>28</v>
      </c>
      <c r="C24" s="300">
        <v>7259.5</v>
      </c>
      <c r="D24" s="300">
        <v>7707</v>
      </c>
      <c r="K24" s="290"/>
    </row>
    <row r="25" spans="1:11" ht="47.25" x14ac:dyDescent="0.25">
      <c r="A25" s="134" t="s">
        <v>1115</v>
      </c>
      <c r="B25" s="226" t="s">
        <v>1114</v>
      </c>
      <c r="C25" s="295">
        <f>C26</f>
        <v>7259.5</v>
      </c>
      <c r="D25" s="295">
        <f>D26</f>
        <v>7707</v>
      </c>
      <c r="K25" s="290"/>
    </row>
    <row r="26" spans="1:11" ht="63" x14ac:dyDescent="0.25">
      <c r="A26" s="132" t="s">
        <v>29</v>
      </c>
      <c r="B26" s="144" t="s">
        <v>30</v>
      </c>
      <c r="C26" s="300">
        <f>C24</f>
        <v>7259.5</v>
      </c>
      <c r="D26" s="300">
        <f>D24</f>
        <v>7707</v>
      </c>
      <c r="K26" s="290"/>
    </row>
    <row r="27" spans="1:11" ht="31.5" hidden="1" x14ac:dyDescent="0.25">
      <c r="A27" s="134" t="s">
        <v>31</v>
      </c>
      <c r="B27" s="138" t="s">
        <v>32</v>
      </c>
      <c r="C27" s="295">
        <f t="shared" ref="C27:D27" si="4">SUM(C28:C28)</f>
        <v>0</v>
      </c>
      <c r="D27" s="295">
        <f t="shared" si="4"/>
        <v>0</v>
      </c>
      <c r="K27" s="290"/>
    </row>
    <row r="28" spans="1:11" ht="21.75" hidden="1" customHeight="1" x14ac:dyDescent="0.25">
      <c r="A28" s="190" t="s">
        <v>33</v>
      </c>
      <c r="B28" s="212" t="s">
        <v>32</v>
      </c>
      <c r="C28" s="300">
        <v>0</v>
      </c>
      <c r="D28" s="300">
        <v>0</v>
      </c>
      <c r="E28" s="209"/>
      <c r="K28" s="290"/>
    </row>
    <row r="29" spans="1:11" ht="36" customHeight="1" x14ac:dyDescent="0.25">
      <c r="A29" s="134" t="s">
        <v>1124</v>
      </c>
      <c r="B29" s="145" t="s">
        <v>1117</v>
      </c>
      <c r="C29" s="295">
        <f>C30</f>
        <v>392</v>
      </c>
      <c r="D29" s="300">
        <f>D30</f>
        <v>417</v>
      </c>
      <c r="K29" s="290"/>
    </row>
    <row r="30" spans="1:11" ht="31.5" x14ac:dyDescent="0.25">
      <c r="A30" s="132" t="s">
        <v>34</v>
      </c>
      <c r="B30" s="220" t="s">
        <v>35</v>
      </c>
      <c r="C30" s="300">
        <v>392</v>
      </c>
      <c r="D30" s="300">
        <v>417</v>
      </c>
      <c r="K30" s="290"/>
    </row>
    <row r="31" spans="1:11" ht="18.75" x14ac:dyDescent="0.25">
      <c r="A31" s="137" t="s">
        <v>36</v>
      </c>
      <c r="B31" s="138" t="s">
        <v>37</v>
      </c>
      <c r="C31" s="295">
        <f>C32+C34</f>
        <v>1695</v>
      </c>
      <c r="D31" s="295">
        <f t="shared" ref="D31" si="5">D32+D34</f>
        <v>1823</v>
      </c>
      <c r="K31" s="290"/>
    </row>
    <row r="32" spans="1:11" ht="18.75" x14ac:dyDescent="0.25">
      <c r="A32" s="137" t="s">
        <v>38</v>
      </c>
      <c r="B32" s="138" t="s">
        <v>39</v>
      </c>
      <c r="C32" s="295">
        <f t="shared" ref="C32:D32" si="6">C33</f>
        <v>990</v>
      </c>
      <c r="D32" s="295">
        <f t="shared" si="6"/>
        <v>1089</v>
      </c>
      <c r="K32" s="290"/>
    </row>
    <row r="33" spans="1:11" ht="47.25" x14ac:dyDescent="0.25">
      <c r="A33" s="190" t="s">
        <v>40</v>
      </c>
      <c r="B33" s="144" t="s">
        <v>41</v>
      </c>
      <c r="C33" s="300">
        <v>990</v>
      </c>
      <c r="D33" s="300">
        <v>1089</v>
      </c>
      <c r="K33" s="290"/>
    </row>
    <row r="34" spans="1:11" ht="18.75" x14ac:dyDescent="0.25">
      <c r="A34" s="137" t="s">
        <v>42</v>
      </c>
      <c r="B34" s="138" t="s">
        <v>43</v>
      </c>
      <c r="C34" s="295">
        <f>C35+C37</f>
        <v>705</v>
      </c>
      <c r="D34" s="295">
        <f>D35+D37</f>
        <v>734</v>
      </c>
      <c r="J34" s="387">
        <v>734</v>
      </c>
      <c r="K34" s="291">
        <f>J34-D34</f>
        <v>0</v>
      </c>
    </row>
    <row r="35" spans="1:11" ht="18.75" x14ac:dyDescent="0.25">
      <c r="A35" s="137" t="s">
        <v>1126</v>
      </c>
      <c r="B35" s="138" t="s">
        <v>1125</v>
      </c>
      <c r="C35" s="295">
        <f>C36</f>
        <v>541</v>
      </c>
      <c r="D35" s="295">
        <f>D36</f>
        <v>563</v>
      </c>
      <c r="K35" s="290"/>
    </row>
    <row r="36" spans="1:11" ht="31.5" x14ac:dyDescent="0.25">
      <c r="A36" s="190" t="s">
        <v>44</v>
      </c>
      <c r="B36" s="144" t="s">
        <v>45</v>
      </c>
      <c r="C36" s="300">
        <v>541</v>
      </c>
      <c r="D36" s="300">
        <v>563</v>
      </c>
      <c r="K36" s="290"/>
    </row>
    <row r="37" spans="1:11" ht="18.75" x14ac:dyDescent="0.25">
      <c r="A37" s="137" t="s">
        <v>1128</v>
      </c>
      <c r="B37" s="138" t="s">
        <v>1127</v>
      </c>
      <c r="C37" s="295">
        <f>C38</f>
        <v>164</v>
      </c>
      <c r="D37" s="295">
        <f>D38</f>
        <v>171</v>
      </c>
      <c r="K37" s="290"/>
    </row>
    <row r="38" spans="1:11" ht="31.5" x14ac:dyDescent="0.25">
      <c r="A38" s="190" t="s">
        <v>46</v>
      </c>
      <c r="B38" s="144" t="s">
        <v>47</v>
      </c>
      <c r="C38" s="300">
        <v>164</v>
      </c>
      <c r="D38" s="300">
        <v>171</v>
      </c>
      <c r="K38" s="290"/>
    </row>
    <row r="39" spans="1:11" ht="18.75" x14ac:dyDescent="0.25">
      <c r="A39" s="137" t="s">
        <v>48</v>
      </c>
      <c r="B39" s="138" t="s">
        <v>49</v>
      </c>
      <c r="C39" s="295">
        <f t="shared" ref="C39:D40" si="7">C40</f>
        <v>1534</v>
      </c>
      <c r="D39" s="295">
        <f t="shared" si="7"/>
        <v>1534</v>
      </c>
      <c r="K39" s="290"/>
    </row>
    <row r="40" spans="1:11" ht="31.5" x14ac:dyDescent="0.25">
      <c r="A40" s="137" t="s">
        <v>50</v>
      </c>
      <c r="B40" s="138" t="s">
        <v>51</v>
      </c>
      <c r="C40" s="295">
        <f t="shared" si="7"/>
        <v>1534</v>
      </c>
      <c r="D40" s="295">
        <f t="shared" si="7"/>
        <v>1534</v>
      </c>
      <c r="K40" s="290"/>
    </row>
    <row r="41" spans="1:11" ht="47.25" x14ac:dyDescent="0.25">
      <c r="A41" s="190" t="s">
        <v>52</v>
      </c>
      <c r="B41" s="139" t="s">
        <v>53</v>
      </c>
      <c r="C41" s="300">
        <v>1534</v>
      </c>
      <c r="D41" s="300">
        <v>1534</v>
      </c>
      <c r="K41" s="290"/>
    </row>
    <row r="42" spans="1:11" ht="47.25" x14ac:dyDescent="0.25">
      <c r="A42" s="137" t="s">
        <v>54</v>
      </c>
      <c r="B42" s="146" t="s">
        <v>55</v>
      </c>
      <c r="C42" s="295">
        <f t="shared" ref="C42:D42" si="8">C43</f>
        <v>45000</v>
      </c>
      <c r="D42" s="295">
        <f t="shared" si="8"/>
        <v>45000</v>
      </c>
      <c r="E42" s="22"/>
      <c r="F42" s="22"/>
      <c r="H42" s="216">
        <v>45000</v>
      </c>
      <c r="I42" s="216">
        <f>H42-C42</f>
        <v>0</v>
      </c>
      <c r="J42" s="216">
        <v>45000</v>
      </c>
      <c r="K42" s="291">
        <f>J42-D42</f>
        <v>0</v>
      </c>
    </row>
    <row r="43" spans="1:11" ht="78.75" x14ac:dyDescent="0.25">
      <c r="A43" s="137" t="s">
        <v>56</v>
      </c>
      <c r="B43" s="146" t="s">
        <v>57</v>
      </c>
      <c r="C43" s="295">
        <f t="shared" ref="C43:D43" si="9">C44+C46</f>
        <v>45000</v>
      </c>
      <c r="D43" s="295">
        <f t="shared" si="9"/>
        <v>45000</v>
      </c>
      <c r="K43" s="290"/>
    </row>
    <row r="44" spans="1:11" ht="63" x14ac:dyDescent="0.25">
      <c r="A44" s="137" t="s">
        <v>58</v>
      </c>
      <c r="B44" s="138" t="s">
        <v>59</v>
      </c>
      <c r="C44" s="295">
        <f t="shared" ref="C44:D44" si="10">C45</f>
        <v>40000</v>
      </c>
      <c r="D44" s="295">
        <f t="shared" si="10"/>
        <v>40000</v>
      </c>
      <c r="K44" s="290"/>
    </row>
    <row r="45" spans="1:11" ht="78.75" x14ac:dyDescent="0.25">
      <c r="A45" s="190" t="s">
        <v>60</v>
      </c>
      <c r="B45" s="144" t="s">
        <v>61</v>
      </c>
      <c r="C45" s="300">
        <v>40000</v>
      </c>
      <c r="D45" s="300">
        <v>40000</v>
      </c>
      <c r="K45" s="290"/>
    </row>
    <row r="46" spans="1:11" ht="47.25" x14ac:dyDescent="0.25">
      <c r="A46" s="137" t="s">
        <v>62</v>
      </c>
      <c r="B46" s="138" t="s">
        <v>63</v>
      </c>
      <c r="C46" s="295">
        <f t="shared" ref="C46:D46" si="11">C47</f>
        <v>5000</v>
      </c>
      <c r="D46" s="295">
        <f t="shared" si="11"/>
        <v>5000</v>
      </c>
      <c r="K46" s="290"/>
    </row>
    <row r="47" spans="1:11" ht="31.5" x14ac:dyDescent="0.25">
      <c r="A47" s="190" t="s">
        <v>64</v>
      </c>
      <c r="B47" s="144" t="s">
        <v>65</v>
      </c>
      <c r="C47" s="300">
        <v>5000</v>
      </c>
      <c r="D47" s="300">
        <v>5000</v>
      </c>
      <c r="K47" s="290"/>
    </row>
    <row r="48" spans="1:11" ht="26.45" customHeight="1" x14ac:dyDescent="0.25">
      <c r="A48" s="137" t="s">
        <v>66</v>
      </c>
      <c r="B48" s="219" t="s">
        <v>67</v>
      </c>
      <c r="C48" s="295">
        <f t="shared" ref="C48:D48" si="12">SUM(C49)</f>
        <v>3980.5</v>
      </c>
      <c r="D48" s="295">
        <f t="shared" si="12"/>
        <v>4114.3</v>
      </c>
      <c r="H48" s="216">
        <v>3346.7</v>
      </c>
      <c r="I48" s="216">
        <f>H48-C48</f>
        <v>-633.80000000000018</v>
      </c>
      <c r="J48" s="216">
        <v>3480.5</v>
      </c>
      <c r="K48" s="291">
        <f>J48-D48</f>
        <v>-633.80000000000018</v>
      </c>
    </row>
    <row r="49" spans="1:11" ht="18.75" x14ac:dyDescent="0.25">
      <c r="A49" s="137" t="s">
        <v>68</v>
      </c>
      <c r="B49" s="146" t="s">
        <v>69</v>
      </c>
      <c r="C49" s="295">
        <f>C50+C51+C52</f>
        <v>3980.5</v>
      </c>
      <c r="D49" s="295">
        <f>D50+D51+D52</f>
        <v>4114.3</v>
      </c>
      <c r="K49" s="290"/>
    </row>
    <row r="50" spans="1:11" ht="31.5" x14ac:dyDescent="0.25">
      <c r="A50" s="137" t="s">
        <v>70</v>
      </c>
      <c r="B50" s="146" t="s">
        <v>71</v>
      </c>
      <c r="C50" s="295">
        <v>405</v>
      </c>
      <c r="D50" s="295">
        <v>405</v>
      </c>
      <c r="K50" s="290"/>
    </row>
    <row r="51" spans="1:11" ht="18.75" x14ac:dyDescent="0.25">
      <c r="A51" s="137" t="s">
        <v>72</v>
      </c>
      <c r="B51" s="146" t="s">
        <v>73</v>
      </c>
      <c r="C51" s="295">
        <v>228.8</v>
      </c>
      <c r="D51" s="295">
        <v>228.8</v>
      </c>
      <c r="K51" s="290"/>
    </row>
    <row r="52" spans="1:11" ht="31.5" x14ac:dyDescent="0.25">
      <c r="A52" s="137" t="s">
        <v>1613</v>
      </c>
      <c r="B52" s="219" t="s">
        <v>1118</v>
      </c>
      <c r="C52" s="295">
        <f>C53+C54</f>
        <v>3346.7</v>
      </c>
      <c r="D52" s="295">
        <f>D53+D54</f>
        <v>3480.5</v>
      </c>
      <c r="K52" s="290"/>
    </row>
    <row r="53" spans="1:11" ht="18.75" x14ac:dyDescent="0.25">
      <c r="A53" s="190" t="s">
        <v>795</v>
      </c>
      <c r="B53" s="139" t="s">
        <v>796</v>
      </c>
      <c r="C53" s="300">
        <f>3588-372.3</f>
        <v>3215.7</v>
      </c>
      <c r="D53" s="300">
        <f>3588-238.5</f>
        <v>3349.5</v>
      </c>
      <c r="K53" s="290"/>
    </row>
    <row r="54" spans="1:11" ht="18.75" x14ac:dyDescent="0.25">
      <c r="A54" s="190" t="s">
        <v>797</v>
      </c>
      <c r="B54" s="139" t="s">
        <v>798</v>
      </c>
      <c r="C54" s="300">
        <v>131</v>
      </c>
      <c r="D54" s="300">
        <v>131</v>
      </c>
      <c r="K54" s="290"/>
    </row>
    <row r="55" spans="1:11" ht="31.5" x14ac:dyDescent="0.25">
      <c r="A55" s="137" t="s">
        <v>74</v>
      </c>
      <c r="B55" s="146" t="s">
        <v>75</v>
      </c>
      <c r="C55" s="295">
        <f>C57</f>
        <v>833.9</v>
      </c>
      <c r="D55" s="295">
        <f>D57</f>
        <v>833.9</v>
      </c>
      <c r="K55" s="290"/>
    </row>
    <row r="56" spans="1:11" ht="18.75" x14ac:dyDescent="0.25">
      <c r="A56" s="137" t="s">
        <v>76</v>
      </c>
      <c r="B56" s="146" t="s">
        <v>77</v>
      </c>
      <c r="C56" s="295">
        <f>C57</f>
        <v>833.9</v>
      </c>
      <c r="D56" s="295">
        <f>D57</f>
        <v>833.9</v>
      </c>
      <c r="K56" s="290"/>
    </row>
    <row r="57" spans="1:11" ht="31.5" x14ac:dyDescent="0.25">
      <c r="A57" s="190" t="s">
        <v>78</v>
      </c>
      <c r="B57" s="139" t="s">
        <v>79</v>
      </c>
      <c r="C57" s="300">
        <v>833.9</v>
      </c>
      <c r="D57" s="300">
        <v>833.9</v>
      </c>
      <c r="K57" s="290"/>
    </row>
    <row r="58" spans="1:11" ht="31.5" x14ac:dyDescent="0.25">
      <c r="A58" s="137" t="s">
        <v>80</v>
      </c>
      <c r="B58" s="146" t="s">
        <v>81</v>
      </c>
      <c r="C58" s="295">
        <f t="shared" ref="C58:D58" si="13">SUM(C59+C61)</f>
        <v>236</v>
      </c>
      <c r="D58" s="295">
        <f t="shared" si="13"/>
        <v>236</v>
      </c>
      <c r="K58" s="290"/>
    </row>
    <row r="59" spans="1:11" ht="78.75" x14ac:dyDescent="0.25">
      <c r="A59" s="137" t="s">
        <v>82</v>
      </c>
      <c r="B59" s="146" t="s">
        <v>83</v>
      </c>
      <c r="C59" s="295">
        <f t="shared" ref="C59:D59" si="14">C60</f>
        <v>235</v>
      </c>
      <c r="D59" s="295">
        <f t="shared" si="14"/>
        <v>235</v>
      </c>
      <c r="K59" s="290"/>
    </row>
    <row r="60" spans="1:11" ht="94.5" x14ac:dyDescent="0.25">
      <c r="A60" s="190" t="s">
        <v>84</v>
      </c>
      <c r="B60" s="139" t="s">
        <v>699</v>
      </c>
      <c r="C60" s="300">
        <v>235</v>
      </c>
      <c r="D60" s="300">
        <v>235</v>
      </c>
      <c r="K60" s="290"/>
    </row>
    <row r="61" spans="1:11" ht="31.5" x14ac:dyDescent="0.25">
      <c r="A61" s="137" t="s">
        <v>85</v>
      </c>
      <c r="B61" s="146" t="s">
        <v>86</v>
      </c>
      <c r="C61" s="295">
        <f t="shared" ref="C61:D61" si="15">SUM(C62)</f>
        <v>1</v>
      </c>
      <c r="D61" s="295">
        <f t="shared" si="15"/>
        <v>1</v>
      </c>
      <c r="K61" s="290"/>
    </row>
    <row r="62" spans="1:11" ht="47.25" x14ac:dyDescent="0.25">
      <c r="A62" s="190" t="s">
        <v>87</v>
      </c>
      <c r="B62" s="139" t="s">
        <v>88</v>
      </c>
      <c r="C62" s="300">
        <v>1</v>
      </c>
      <c r="D62" s="300">
        <v>1</v>
      </c>
      <c r="K62" s="290"/>
    </row>
    <row r="63" spans="1:11" ht="18.75" x14ac:dyDescent="0.25">
      <c r="A63" s="137" t="s">
        <v>89</v>
      </c>
      <c r="B63" s="146" t="s">
        <v>90</v>
      </c>
      <c r="C63" s="295">
        <f>C64</f>
        <v>6.3</v>
      </c>
      <c r="D63" s="295">
        <f>D64</f>
        <v>6.3</v>
      </c>
      <c r="K63" s="290"/>
    </row>
    <row r="64" spans="1:11" ht="31.5" x14ac:dyDescent="0.25">
      <c r="A64" s="137" t="s">
        <v>1097</v>
      </c>
      <c r="B64" s="219" t="s">
        <v>91</v>
      </c>
      <c r="C64" s="321">
        <f>C65+C67+C69</f>
        <v>6.3</v>
      </c>
      <c r="D64" s="321">
        <f>D65+D67+D69</f>
        <v>6.3</v>
      </c>
      <c r="K64" s="290"/>
    </row>
    <row r="65" spans="1:11" ht="63" x14ac:dyDescent="0.25">
      <c r="A65" s="137" t="s">
        <v>1111</v>
      </c>
      <c r="B65" s="227" t="s">
        <v>1110</v>
      </c>
      <c r="C65" s="321">
        <f>C66</f>
        <v>2.5</v>
      </c>
      <c r="D65" s="321">
        <f>D66</f>
        <v>2.5</v>
      </c>
      <c r="K65" s="290"/>
    </row>
    <row r="66" spans="1:11" ht="78.75" x14ac:dyDescent="0.25">
      <c r="A66" s="190" t="s">
        <v>1099</v>
      </c>
      <c r="B66" s="228" t="s">
        <v>1105</v>
      </c>
      <c r="C66" s="317">
        <v>2.5</v>
      </c>
      <c r="D66" s="317">
        <v>2.5</v>
      </c>
      <c r="K66" s="290"/>
    </row>
    <row r="67" spans="1:11" ht="78.75" hidden="1" x14ac:dyDescent="0.25">
      <c r="A67" s="137" t="s">
        <v>1113</v>
      </c>
      <c r="B67" s="227" t="s">
        <v>1112</v>
      </c>
      <c r="C67" s="321">
        <f>C68</f>
        <v>0</v>
      </c>
      <c r="D67" s="321">
        <f>D68</f>
        <v>0</v>
      </c>
      <c r="K67" s="290"/>
    </row>
    <row r="68" spans="1:11" ht="96" hidden="1" customHeight="1" x14ac:dyDescent="0.25">
      <c r="A68" s="190" t="s">
        <v>1098</v>
      </c>
      <c r="B68" s="228" t="s">
        <v>1106</v>
      </c>
      <c r="C68" s="317">
        <v>0</v>
      </c>
      <c r="D68" s="317">
        <v>0</v>
      </c>
      <c r="K68" s="290"/>
    </row>
    <row r="69" spans="1:11" ht="75.2" customHeight="1" x14ac:dyDescent="0.25">
      <c r="A69" s="137" t="s">
        <v>1109</v>
      </c>
      <c r="B69" s="229" t="s">
        <v>1108</v>
      </c>
      <c r="C69" s="321">
        <f>C70</f>
        <v>3.8</v>
      </c>
      <c r="D69" s="321">
        <f>D70</f>
        <v>3.8</v>
      </c>
    </row>
    <row r="70" spans="1:11" ht="87.75" customHeight="1" x14ac:dyDescent="0.25">
      <c r="A70" s="190" t="s">
        <v>1102</v>
      </c>
      <c r="B70" s="230" t="s">
        <v>1107</v>
      </c>
      <c r="C70" s="300">
        <v>3.8</v>
      </c>
      <c r="D70" s="300">
        <v>3.8</v>
      </c>
    </row>
    <row r="71" spans="1:11" ht="18.75" hidden="1" x14ac:dyDescent="0.25">
      <c r="A71" s="3" t="s">
        <v>1100</v>
      </c>
      <c r="B71" s="177" t="s">
        <v>767</v>
      </c>
      <c r="C71" s="295">
        <f>C72</f>
        <v>0</v>
      </c>
      <c r="D71" s="295">
        <f>D72</f>
        <v>0</v>
      </c>
    </row>
    <row r="72" spans="1:11" ht="18.75" hidden="1" x14ac:dyDescent="0.25">
      <c r="A72" s="3" t="s">
        <v>1101</v>
      </c>
      <c r="B72" s="177" t="s">
        <v>768</v>
      </c>
      <c r="C72" s="295">
        <f t="shared" ref="C72:D72" si="16">SUM(C73)</f>
        <v>0</v>
      </c>
      <c r="D72" s="295">
        <f t="shared" si="16"/>
        <v>0</v>
      </c>
    </row>
    <row r="73" spans="1:11" ht="18.75" hidden="1" x14ac:dyDescent="0.25">
      <c r="A73" s="2" t="s">
        <v>769</v>
      </c>
      <c r="B73" s="176" t="s">
        <v>770</v>
      </c>
      <c r="C73" s="300">
        <v>0</v>
      </c>
      <c r="D73" s="300">
        <v>0</v>
      </c>
    </row>
    <row r="74" spans="1:11" ht="18.75" x14ac:dyDescent="0.25">
      <c r="A74" s="137" t="s">
        <v>92</v>
      </c>
      <c r="B74" s="138" t="s">
        <v>93</v>
      </c>
      <c r="C74" s="295">
        <f>SUM(C75+C149)</f>
        <v>442875.89999999997</v>
      </c>
      <c r="D74" s="295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295">
        <f>SUM(C76+C81+C115+C141)</f>
        <v>442875.89999999997</v>
      </c>
      <c r="D75" s="295">
        <f>SUM(D76+D81+D115+D141)</f>
        <v>473972.89999999991</v>
      </c>
      <c r="E75" s="387">
        <v>265225.5</v>
      </c>
    </row>
    <row r="76" spans="1:11" ht="18.75" x14ac:dyDescent="0.25">
      <c r="A76" s="137" t="s">
        <v>813</v>
      </c>
      <c r="B76" s="147" t="s">
        <v>96</v>
      </c>
      <c r="C76" s="295">
        <f>C77+C79</f>
        <v>205743</v>
      </c>
      <c r="D76" s="295">
        <f>D77+D79</f>
        <v>205743</v>
      </c>
      <c r="E76" s="22">
        <f>E74-E75</f>
        <v>-28092.600000000035</v>
      </c>
    </row>
    <row r="77" spans="1:11" ht="31.5" x14ac:dyDescent="0.25">
      <c r="A77" s="137" t="s">
        <v>1130</v>
      </c>
      <c r="B77" s="147" t="s">
        <v>1129</v>
      </c>
      <c r="C77" s="295">
        <f t="shared" ref="C77:D77" si="17">C78</f>
        <v>154837</v>
      </c>
      <c r="D77" s="295">
        <f t="shared" si="17"/>
        <v>154837</v>
      </c>
    </row>
    <row r="78" spans="1:11" ht="36.75" customHeight="1" x14ac:dyDescent="0.25">
      <c r="A78" s="190" t="s">
        <v>812</v>
      </c>
      <c r="B78" s="144" t="s">
        <v>1138</v>
      </c>
      <c r="C78" s="300">
        <v>154837</v>
      </c>
      <c r="D78" s="300">
        <v>154837</v>
      </c>
    </row>
    <row r="79" spans="1:11" ht="31.5" x14ac:dyDescent="0.25">
      <c r="A79" s="134" t="s">
        <v>1444</v>
      </c>
      <c r="B79" s="138" t="s">
        <v>1445</v>
      </c>
      <c r="C79" s="295">
        <f>C80</f>
        <v>50906</v>
      </c>
      <c r="D79" s="295">
        <f>D80</f>
        <v>50906</v>
      </c>
    </row>
    <row r="80" spans="1:11" ht="31.5" x14ac:dyDescent="0.25">
      <c r="A80" s="132" t="s">
        <v>1446</v>
      </c>
      <c r="B80" s="144" t="s">
        <v>1447</v>
      </c>
      <c r="C80" s="300">
        <v>50906</v>
      </c>
      <c r="D80" s="300">
        <v>50906</v>
      </c>
    </row>
    <row r="81" spans="1:6" ht="31.5" x14ac:dyDescent="0.25">
      <c r="A81" s="137" t="s">
        <v>811</v>
      </c>
      <c r="B81" s="138" t="s">
        <v>97</v>
      </c>
      <c r="C81" s="295">
        <f>C91+C96+C99+C92+C94+C88+C86+C82+C84</f>
        <v>14026.500000000002</v>
      </c>
      <c r="D81" s="295">
        <f>D91+D96+D99+D92+D94+D88+D86+D82+D84</f>
        <v>13511.800000000001</v>
      </c>
    </row>
    <row r="82" spans="1:6" ht="47.25" hidden="1" x14ac:dyDescent="0.25">
      <c r="A82" s="431" t="s">
        <v>1153</v>
      </c>
      <c r="B82" s="239" t="s">
        <v>1155</v>
      </c>
      <c r="C82" s="296">
        <f>C83</f>
        <v>0</v>
      </c>
      <c r="D82" s="296">
        <f>D83</f>
        <v>0</v>
      </c>
    </row>
    <row r="83" spans="1:6" ht="47.25" hidden="1" x14ac:dyDescent="0.25">
      <c r="A83" s="190" t="s">
        <v>1152</v>
      </c>
      <c r="B83" s="241" t="s">
        <v>1154</v>
      </c>
      <c r="C83" s="300">
        <v>0</v>
      </c>
      <c r="D83" s="300">
        <v>0</v>
      </c>
    </row>
    <row r="84" spans="1:6" ht="53.45" customHeight="1" x14ac:dyDescent="0.25">
      <c r="A84" s="137" t="s">
        <v>1451</v>
      </c>
      <c r="B84" s="297" t="s">
        <v>1453</v>
      </c>
      <c r="C84" s="295">
        <f>C85</f>
        <v>1677.7</v>
      </c>
      <c r="D84" s="295">
        <f>D85</f>
        <v>2245</v>
      </c>
    </row>
    <row r="85" spans="1:6" ht="47.25" x14ac:dyDescent="0.25">
      <c r="A85" s="190" t="s">
        <v>1452</v>
      </c>
      <c r="B85" s="348" t="s">
        <v>1454</v>
      </c>
      <c r="C85" s="300">
        <v>1677.7</v>
      </c>
      <c r="D85" s="300">
        <v>2245</v>
      </c>
      <c r="E85" s="216">
        <f>'пр.6.1.ведом.22-23 (2)'!G680-167.95</f>
        <v>1581.4999999999998</v>
      </c>
      <c r="F85" s="216">
        <f>'пр.6.1.ведом.22-23 (2)'!H680-224.75</f>
        <v>2116.25</v>
      </c>
    </row>
    <row r="86" spans="1:6" ht="47.25" hidden="1" x14ac:dyDescent="0.25">
      <c r="A86" s="137" t="s">
        <v>1156</v>
      </c>
      <c r="B86" s="240" t="s">
        <v>1159</v>
      </c>
      <c r="C86" s="295">
        <f>C87</f>
        <v>0</v>
      </c>
      <c r="D86" s="295">
        <f>D87</f>
        <v>0</v>
      </c>
    </row>
    <row r="87" spans="1:6" ht="47.25" hidden="1" x14ac:dyDescent="0.25">
      <c r="A87" s="190" t="s">
        <v>1157</v>
      </c>
      <c r="B87" s="241" t="s">
        <v>1158</v>
      </c>
      <c r="C87" s="300">
        <v>0</v>
      </c>
      <c r="D87" s="300">
        <v>0</v>
      </c>
    </row>
    <row r="88" spans="1:6" ht="18.75" hidden="1" x14ac:dyDescent="0.25">
      <c r="A88" s="257"/>
      <c r="B88" s="258" t="s">
        <v>1282</v>
      </c>
      <c r="C88" s="295">
        <f>C89</f>
        <v>0</v>
      </c>
      <c r="D88" s="295">
        <f>D89</f>
        <v>0</v>
      </c>
    </row>
    <row r="89" spans="1:6" ht="18.75" hidden="1" x14ac:dyDescent="0.25">
      <c r="A89" s="255"/>
      <c r="B89" s="256"/>
      <c r="C89" s="300">
        <v>0</v>
      </c>
      <c r="D89" s="295">
        <v>0</v>
      </c>
      <c r="E89" s="216">
        <f>'пр.6.1.ведом.22-23 (2)'!G400-'пр.6.1.ведом.22-23 (2)'!R1096</f>
        <v>0</v>
      </c>
    </row>
    <row r="90" spans="1:6" ht="31.5" x14ac:dyDescent="0.25">
      <c r="A90" s="431" t="s">
        <v>1119</v>
      </c>
      <c r="B90" s="138" t="s">
        <v>1131</v>
      </c>
      <c r="C90" s="295">
        <f>C91</f>
        <v>267.8</v>
      </c>
      <c r="D90" s="295">
        <f>D91</f>
        <v>262.8</v>
      </c>
    </row>
    <row r="91" spans="1:6" ht="31.5" x14ac:dyDescent="0.25">
      <c r="A91" s="433" t="s">
        <v>792</v>
      </c>
      <c r="B91" s="144" t="s">
        <v>794</v>
      </c>
      <c r="C91" s="300">
        <v>267.8</v>
      </c>
      <c r="D91" s="300">
        <v>262.8</v>
      </c>
      <c r="E91" s="216">
        <f>'пр.6.1.ведом.22-23 (2)'!G452-'пр.6.1.ведом.22-23 (2)'!L452</f>
        <v>267.8</v>
      </c>
      <c r="F91" s="216">
        <f>'пр.6.1.ведом.22-23 (2)'!H452-'пр.6.1.ведом.22-23 (2)'!M452</f>
        <v>262.8</v>
      </c>
    </row>
    <row r="92" spans="1:6" ht="40.700000000000003" hidden="1" customHeight="1" x14ac:dyDescent="0.25">
      <c r="A92" s="431" t="s">
        <v>1120</v>
      </c>
      <c r="B92" s="146" t="s">
        <v>825</v>
      </c>
      <c r="C92" s="295">
        <f>C93</f>
        <v>0</v>
      </c>
      <c r="D92" s="295">
        <f>D93</f>
        <v>0</v>
      </c>
    </row>
    <row r="93" spans="1:6" ht="39.75" hidden="1" customHeight="1" x14ac:dyDescent="0.25">
      <c r="A93" s="433" t="s">
        <v>824</v>
      </c>
      <c r="B93" s="139" t="s">
        <v>825</v>
      </c>
      <c r="C93" s="300">
        <v>0</v>
      </c>
      <c r="D93" s="300">
        <v>0</v>
      </c>
    </row>
    <row r="94" spans="1:6" ht="19.5" hidden="1" customHeight="1" x14ac:dyDescent="0.25">
      <c r="A94" s="244" t="s">
        <v>1149</v>
      </c>
      <c r="B94" s="243" t="s">
        <v>1150</v>
      </c>
      <c r="C94" s="295">
        <f>C95</f>
        <v>0</v>
      </c>
      <c r="D94" s="295">
        <f>D95</f>
        <v>0</v>
      </c>
    </row>
    <row r="95" spans="1:6" ht="87.75" hidden="1" customHeight="1" x14ac:dyDescent="0.25">
      <c r="A95" s="245" t="s">
        <v>1147</v>
      </c>
      <c r="B95" s="246" t="s">
        <v>1187</v>
      </c>
      <c r="C95" s="300">
        <v>0</v>
      </c>
      <c r="D95" s="300">
        <v>0</v>
      </c>
    </row>
    <row r="96" spans="1:6" ht="60.75" customHeight="1" x14ac:dyDescent="0.25">
      <c r="A96" s="431" t="s">
        <v>1434</v>
      </c>
      <c r="B96" s="138" t="s">
        <v>1435</v>
      </c>
      <c r="C96" s="295">
        <f t="shared" ref="C96:D98" si="18">SUM(C97)</f>
        <v>5193.6000000000004</v>
      </c>
      <c r="D96" s="295">
        <f t="shared" si="18"/>
        <v>4931.6000000000004</v>
      </c>
    </row>
    <row r="97" spans="1:7" ht="68.25" customHeight="1" x14ac:dyDescent="0.25">
      <c r="A97" s="433" t="s">
        <v>1436</v>
      </c>
      <c r="B97" s="144" t="s">
        <v>1420</v>
      </c>
      <c r="C97" s="300">
        <v>5193.6000000000004</v>
      </c>
      <c r="D97" s="300">
        <v>4931.6000000000004</v>
      </c>
      <c r="E97" s="216">
        <f>'пр.6.1.ведом.22-23 (2)'!G672-519.93</f>
        <v>4895.72</v>
      </c>
      <c r="F97" s="216">
        <f>'пр.6.1.ведом.22-23 (2)'!H672-493.7</f>
        <v>4648.7500000000009</v>
      </c>
    </row>
    <row r="98" spans="1:7" ht="18.75" x14ac:dyDescent="0.25">
      <c r="A98" s="431" t="s">
        <v>1122</v>
      </c>
      <c r="B98" s="138" t="s">
        <v>1121</v>
      </c>
      <c r="C98" s="295">
        <f t="shared" si="18"/>
        <v>6887.4000000000005</v>
      </c>
      <c r="D98" s="295">
        <f t="shared" si="18"/>
        <v>6072.4000000000005</v>
      </c>
    </row>
    <row r="99" spans="1:7" ht="18.75" x14ac:dyDescent="0.25">
      <c r="A99" s="190" t="s">
        <v>810</v>
      </c>
      <c r="B99" s="144" t="s">
        <v>98</v>
      </c>
      <c r="C99" s="314">
        <f>C100+C101+C102+C104+C105+C108+C109+C110+C111+C112+C114+C107+C113+C103</f>
        <v>6887.4000000000005</v>
      </c>
      <c r="D99" s="314">
        <f>D100+D101+D102+D104+D105+D108+D109+D110+D111+D112+D114+D107+D113+D103</f>
        <v>6072.4000000000005</v>
      </c>
    </row>
    <row r="100" spans="1:7" ht="63" customHeight="1" x14ac:dyDescent="0.25">
      <c r="A100" s="540"/>
      <c r="B100" s="139" t="s">
        <v>1614</v>
      </c>
      <c r="C100" s="300">
        <v>65.2</v>
      </c>
      <c r="D100" s="300">
        <v>65.2</v>
      </c>
      <c r="E100" s="291" t="e">
        <f>'пр.6.1.ведом.22-23 (2)'!#REF!</f>
        <v>#REF!</v>
      </c>
      <c r="F100" s="291" t="e">
        <f>'пр.6.1.ведом.22-23 (2)'!#REF!</f>
        <v>#REF!</v>
      </c>
    </row>
    <row r="101" spans="1:7" ht="82.15" customHeight="1" x14ac:dyDescent="0.25">
      <c r="A101" s="541"/>
      <c r="B101" s="148" t="s">
        <v>1615</v>
      </c>
      <c r="C101" s="315">
        <v>1666.6</v>
      </c>
      <c r="D101" s="315">
        <v>915</v>
      </c>
      <c r="E101" s="292">
        <f>'пр.6.1.ведом.22-23 (2)'!G598</f>
        <v>1666.6</v>
      </c>
      <c r="F101" s="292">
        <f>'пр.6.1.ведом.22-23 (2)'!H598</f>
        <v>915</v>
      </c>
    </row>
    <row r="102" spans="1:7" ht="143.44999999999999" hidden="1" customHeight="1" x14ac:dyDescent="0.25">
      <c r="A102" s="541"/>
      <c r="B102" s="242" t="s">
        <v>1151</v>
      </c>
      <c r="C102" s="315">
        <v>0</v>
      </c>
      <c r="D102" s="315">
        <v>0</v>
      </c>
      <c r="E102" s="216" t="e">
        <f>'пр.6.1.ведом.22-23 (2)'!#REF!</f>
        <v>#REF!</v>
      </c>
      <c r="F102" s="216" t="e">
        <f>'пр.6.1.ведом.22-23 (2)'!#REF!</f>
        <v>#REF!</v>
      </c>
    </row>
    <row r="103" spans="1:7" ht="101.25" customHeight="1" x14ac:dyDescent="0.25">
      <c r="A103" s="541"/>
      <c r="B103" s="242" t="s">
        <v>1616</v>
      </c>
      <c r="C103" s="315">
        <v>200</v>
      </c>
      <c r="D103" s="315">
        <f>C103</f>
        <v>200</v>
      </c>
      <c r="E103" s="216"/>
      <c r="F103" s="216"/>
    </row>
    <row r="104" spans="1:7" ht="31.5" x14ac:dyDescent="0.25">
      <c r="A104" s="541"/>
      <c r="B104" s="371" t="s">
        <v>1617</v>
      </c>
      <c r="C104" s="316">
        <v>2161.1</v>
      </c>
      <c r="D104" s="316">
        <v>2161.1</v>
      </c>
      <c r="E104" s="291">
        <f>'пр.6.1.ведом.22-23 (2)'!G728</f>
        <v>0</v>
      </c>
      <c r="F104" s="291">
        <f>'пр.6.1.ведом.22-23 (2)'!H728</f>
        <v>0</v>
      </c>
    </row>
    <row r="105" spans="1:7" ht="67.7" hidden="1" customHeight="1" x14ac:dyDescent="0.25">
      <c r="A105" s="541"/>
      <c r="B105" s="148" t="s">
        <v>1419</v>
      </c>
      <c r="C105" s="317"/>
      <c r="D105" s="317"/>
    </row>
    <row r="106" spans="1:7" ht="116.45" hidden="1" customHeight="1" x14ac:dyDescent="0.25">
      <c r="A106" s="541"/>
      <c r="B106" s="231" t="s">
        <v>802</v>
      </c>
      <c r="C106" s="318">
        <v>0</v>
      </c>
      <c r="D106" s="318">
        <v>0</v>
      </c>
    </row>
    <row r="107" spans="1:7" ht="94.5" x14ac:dyDescent="0.25">
      <c r="A107" s="541"/>
      <c r="B107" s="139" t="s">
        <v>1618</v>
      </c>
      <c r="C107" s="300">
        <v>40</v>
      </c>
      <c r="D107" s="300">
        <v>40</v>
      </c>
      <c r="E107" s="292">
        <f>'пр.6.1.ведом.22-23 (2)'!G51</f>
        <v>0</v>
      </c>
      <c r="F107" s="292">
        <f>'пр.6.1.ведом.22-23 (2)'!H51</f>
        <v>0</v>
      </c>
    </row>
    <row r="108" spans="1:7" ht="32.65" customHeight="1" x14ac:dyDescent="0.25">
      <c r="A108" s="541"/>
      <c r="B108" s="139" t="s">
        <v>1619</v>
      </c>
      <c r="C108" s="300">
        <v>1731.8</v>
      </c>
      <c r="D108" s="300">
        <v>1665.2</v>
      </c>
      <c r="E108" s="292" t="e">
        <f>'пр.6.1.ведом.22-23 (2)'!#REF!</f>
        <v>#REF!</v>
      </c>
      <c r="F108" s="292" t="e">
        <f>'пр.6.1.ведом.22-23 (2)'!#REF!</f>
        <v>#REF!</v>
      </c>
    </row>
    <row r="109" spans="1:7" ht="38.1" customHeight="1" x14ac:dyDescent="0.25">
      <c r="A109" s="541"/>
      <c r="B109" s="139" t="s">
        <v>1620</v>
      </c>
      <c r="C109" s="300">
        <v>255</v>
      </c>
      <c r="D109" s="300">
        <v>255</v>
      </c>
      <c r="E109" s="292">
        <f>'пр.6.1.ведом.22-23 (2)'!G200</f>
        <v>0</v>
      </c>
      <c r="F109" s="292">
        <f>'пр.6.1.ведом.22-23 (2)'!H200</f>
        <v>0</v>
      </c>
    </row>
    <row r="110" spans="1:7" ht="47.25" x14ac:dyDescent="0.25">
      <c r="A110" s="541"/>
      <c r="B110" s="139" t="s">
        <v>1621</v>
      </c>
      <c r="C110" s="300">
        <v>516.6</v>
      </c>
      <c r="D110" s="300">
        <v>516.6</v>
      </c>
      <c r="E110" s="292" t="e">
        <f>'пр.6.1.ведом.22-23 (2)'!#REF!</f>
        <v>#REF!</v>
      </c>
      <c r="F110" s="292" t="e">
        <f>'пр.6.1.ведом.22-23 (2)'!#REF!</f>
        <v>#REF!</v>
      </c>
    </row>
    <row r="111" spans="1:7" ht="95.25" hidden="1" customHeight="1" x14ac:dyDescent="0.25">
      <c r="A111" s="541"/>
      <c r="B111" s="246" t="s">
        <v>1160</v>
      </c>
      <c r="C111" s="325">
        <v>0</v>
      </c>
      <c r="D111" s="300">
        <v>0</v>
      </c>
    </row>
    <row r="112" spans="1:7" ht="95.1" customHeight="1" x14ac:dyDescent="0.25">
      <c r="A112" s="541"/>
      <c r="B112" s="373" t="s">
        <v>1622</v>
      </c>
      <c r="C112" s="314">
        <v>173.3</v>
      </c>
      <c r="D112" s="314">
        <v>173.3</v>
      </c>
      <c r="E112" s="292" t="e">
        <f>'пр.6.1.ведом.22-23 (2)'!#REF!</f>
        <v>#REF!</v>
      </c>
      <c r="F112" s="292" t="e">
        <f>'пр.6.1.ведом.22-23 (2)'!#REF!</f>
        <v>#REF!</v>
      </c>
      <c r="G112" s="290"/>
    </row>
    <row r="113" spans="1:7" ht="31.5" x14ac:dyDescent="0.25">
      <c r="A113" s="541"/>
      <c r="B113" s="374" t="s">
        <v>1623</v>
      </c>
      <c r="C113" s="314">
        <v>77.8</v>
      </c>
      <c r="D113" s="314">
        <v>81</v>
      </c>
      <c r="E113" s="292">
        <f>'пр.6.1.ведом.22-23 (2)'!G668</f>
        <v>0</v>
      </c>
      <c r="F113" s="292">
        <f>'пр.6.1.ведом.22-23 (2)'!H668</f>
        <v>0</v>
      </c>
    </row>
    <row r="114" spans="1:7" ht="63" hidden="1" x14ac:dyDescent="0.25">
      <c r="A114" s="542"/>
      <c r="B114" s="278" t="s">
        <v>1420</v>
      </c>
      <c r="C114" s="314">
        <v>0</v>
      </c>
      <c r="D114" s="314">
        <v>0</v>
      </c>
      <c r="E114" s="291"/>
      <c r="F114" s="291"/>
    </row>
    <row r="115" spans="1:7" ht="24.75" customHeight="1" x14ac:dyDescent="0.25">
      <c r="A115" s="137" t="s">
        <v>809</v>
      </c>
      <c r="B115" s="219" t="s">
        <v>100</v>
      </c>
      <c r="C115" s="295">
        <f>C139+C116+C137</f>
        <v>215880.3</v>
      </c>
      <c r="D115" s="295">
        <f>D139+D116+D137</f>
        <v>247491.99999999997</v>
      </c>
    </row>
    <row r="116" spans="1:7" ht="31.5" x14ac:dyDescent="0.25">
      <c r="A116" s="137" t="s">
        <v>808</v>
      </c>
      <c r="B116" s="146" t="s">
        <v>101</v>
      </c>
      <c r="C116" s="295">
        <f t="shared" ref="C116:D116" si="19">C117</f>
        <v>215317.09999999998</v>
      </c>
      <c r="D116" s="295">
        <f t="shared" si="19"/>
        <v>247144.29999999996</v>
      </c>
    </row>
    <row r="117" spans="1:7" ht="31.5" x14ac:dyDescent="0.25">
      <c r="A117" s="190" t="s">
        <v>807</v>
      </c>
      <c r="B117" s="139" t="s">
        <v>102</v>
      </c>
      <c r="C117" s="300">
        <f>SUM(C118+C119+C120+C121+C122+C123+C124+C127+C128+C129+C130+C131+C132+C133)</f>
        <v>215317.09999999998</v>
      </c>
      <c r="D117" s="300">
        <f>SUM(D118+D119+D120+D121+D122+D123+D124+D127+D128+D129+D130+D131+D132+D133)</f>
        <v>247144.29999999996</v>
      </c>
    </row>
    <row r="118" spans="1:7" ht="53.1" customHeight="1" x14ac:dyDescent="0.25">
      <c r="A118" s="540"/>
      <c r="B118" s="371" t="s">
        <v>1624</v>
      </c>
      <c r="C118" s="317">
        <v>115047.8</v>
      </c>
      <c r="D118" s="317">
        <v>134211.70000000001</v>
      </c>
      <c r="E118" s="292">
        <f>'пр.6.1.ведом.22-23 (2)'!G624</f>
        <v>115047.8</v>
      </c>
      <c r="F118" s="292">
        <f>'пр.6.1.ведом.22-23 (2)'!H624</f>
        <v>134211.70000000001</v>
      </c>
    </row>
    <row r="119" spans="1:7" ht="35.450000000000003" customHeight="1" x14ac:dyDescent="0.25">
      <c r="A119" s="541"/>
      <c r="B119" s="139" t="s">
        <v>1625</v>
      </c>
      <c r="C119" s="317">
        <v>70113.2</v>
      </c>
      <c r="D119" s="317">
        <v>74475.8</v>
      </c>
      <c r="E119" s="292">
        <f>'пр.6.1.ведом.22-23 (2)'!G567</f>
        <v>70113.2</v>
      </c>
      <c r="F119" s="292">
        <f>'пр.6.1.ведом.22-23 (2)'!H567</f>
        <v>74475.8</v>
      </c>
    </row>
    <row r="120" spans="1:7" ht="63.2" customHeight="1" x14ac:dyDescent="0.25">
      <c r="A120" s="541"/>
      <c r="B120" s="139" t="s">
        <v>1626</v>
      </c>
      <c r="C120" s="317">
        <v>4743.8999999999996</v>
      </c>
      <c r="D120" s="317">
        <f t="shared" ref="D120:D129" si="20">C120</f>
        <v>4743.8999999999996</v>
      </c>
      <c r="E120" s="293">
        <f>'пр.6.1.ведом.22-23 (2)'!G326+'пр.6.1.ведом.22-23 (2)'!G564+'пр.6.1.ведом.22-23 (2)'!G630+'пр.6.1.ведом.22-23 (2)'!G706</f>
        <v>4743.8999999999996</v>
      </c>
      <c r="F120" s="293">
        <f>'пр.6.1.ведом.22-23 (2)'!H326+'пр.6.1.ведом.22-23 (2)'!H564+'пр.6.1.ведом.22-23 (2)'!H630+'пр.6.1.ведом.22-23 (2)'!H706</f>
        <v>4743.8999999999996</v>
      </c>
      <c r="G120" s="294"/>
    </row>
    <row r="121" spans="1:7" ht="64.5" customHeight="1" x14ac:dyDescent="0.25">
      <c r="A121" s="541"/>
      <c r="B121" s="139" t="s">
        <v>1627</v>
      </c>
      <c r="C121" s="317">
        <f>[1]пр.1дох.21!C126</f>
        <v>2185</v>
      </c>
      <c r="D121" s="317">
        <f t="shared" si="20"/>
        <v>2185</v>
      </c>
      <c r="E121" s="292">
        <f>'пр.6.1.ведом.22-23 (2)'!G703+'пр.6.1.ведом.22-23 (2)'!G627+'пр.6.1.ведом.22-23 (2)'!G561+'пр.6.1.ведом.22-23 (2)'!G323</f>
        <v>2185</v>
      </c>
      <c r="F121" s="292">
        <f>'пр.6.1.ведом.22-23 (2)'!H703+'пр.6.1.ведом.22-23 (2)'!H627+'пр.6.1.ведом.22-23 (2)'!H561+'пр.6.1.ведом.22-23 (2)'!H323</f>
        <v>2185</v>
      </c>
    </row>
    <row r="122" spans="1:7" ht="46.9" customHeight="1" x14ac:dyDescent="0.25">
      <c r="A122" s="541"/>
      <c r="B122" s="139" t="s">
        <v>1628</v>
      </c>
      <c r="C122" s="317">
        <v>1411.1</v>
      </c>
      <c r="D122" s="317">
        <v>1411.1</v>
      </c>
      <c r="E122" s="292">
        <f>'пр.6.1.ведом.22-23 (2)'!G79</f>
        <v>1411.1</v>
      </c>
      <c r="F122" s="292">
        <f>'пр.6.1.ведом.22-23 (2)'!H79</f>
        <v>1411.1</v>
      </c>
    </row>
    <row r="123" spans="1:7" ht="141.75" x14ac:dyDescent="0.25">
      <c r="A123" s="541"/>
      <c r="B123" s="139" t="s">
        <v>1629</v>
      </c>
      <c r="C123" s="317">
        <v>264.2</v>
      </c>
      <c r="D123" s="317">
        <v>274.8</v>
      </c>
      <c r="E123" s="292">
        <f>'пр.6.1.ведом.22-23 (2)'!G208</f>
        <v>264.2</v>
      </c>
      <c r="F123" s="292">
        <f>'пр.6.1.ведом.22-23 (2)'!H208</f>
        <v>274.8</v>
      </c>
    </row>
    <row r="124" spans="1:7" ht="47.25" x14ac:dyDescent="0.25">
      <c r="A124" s="541"/>
      <c r="B124" s="139" t="s">
        <v>1630</v>
      </c>
      <c r="C124" s="317">
        <f>SUM(C125:C126)</f>
        <v>3650.3999999999996</v>
      </c>
      <c r="D124" s="317">
        <f>SUM(D125:D126)</f>
        <v>3606.4</v>
      </c>
      <c r="E124" s="291">
        <f>'пр.6.1.ведом.22-23 (2)'!G237</f>
        <v>3650.4</v>
      </c>
      <c r="F124" s="291">
        <f>'пр.6.1.ведом.22-23 (2)'!H237</f>
        <v>3606.4</v>
      </c>
      <c r="G124" s="291"/>
    </row>
    <row r="125" spans="1:7" ht="31.5" x14ac:dyDescent="0.25">
      <c r="A125" s="541"/>
      <c r="B125" s="375" t="s">
        <v>1631</v>
      </c>
      <c r="C125" s="317">
        <f>[1]пр.1дох.21!C130</f>
        <v>2829.1</v>
      </c>
      <c r="D125" s="317">
        <v>2759</v>
      </c>
    </row>
    <row r="126" spans="1:7" ht="31.5" x14ac:dyDescent="0.25">
      <c r="A126" s="541"/>
      <c r="B126" s="375" t="s">
        <v>1632</v>
      </c>
      <c r="C126" s="317">
        <v>821.3</v>
      </c>
      <c r="D126" s="317">
        <v>847.4</v>
      </c>
    </row>
    <row r="127" spans="1:7" ht="62.1" customHeight="1" x14ac:dyDescent="0.25">
      <c r="A127" s="541"/>
      <c r="B127" s="139" t="s">
        <v>1633</v>
      </c>
      <c r="C127" s="317">
        <f>[1]пр.1дох.21!C132</f>
        <v>341.4</v>
      </c>
      <c r="D127" s="317">
        <f t="shared" si="20"/>
        <v>341.4</v>
      </c>
      <c r="E127" s="292">
        <f>'пр.6.1.ведом.22-23 (2)'!G384</f>
        <v>341.4</v>
      </c>
      <c r="F127" s="292">
        <f>'пр.6.1.ведом.22-23 (2)'!H384</f>
        <v>341.4</v>
      </c>
    </row>
    <row r="128" spans="1:7" ht="62.1" customHeight="1" x14ac:dyDescent="0.25">
      <c r="A128" s="541"/>
      <c r="B128" s="139" t="s">
        <v>1634</v>
      </c>
      <c r="C128" s="317">
        <v>909.3</v>
      </c>
      <c r="D128" s="317">
        <v>909.3</v>
      </c>
      <c r="E128" s="292">
        <f>'пр.6.1.ведом.22-23 (2)'!G633</f>
        <v>909.3</v>
      </c>
      <c r="F128" s="292">
        <f>'пр.6.1.ведом.22-23 (2)'!H633</f>
        <v>909.3</v>
      </c>
    </row>
    <row r="129" spans="1:6" ht="47.25" x14ac:dyDescent="0.25">
      <c r="A129" s="541"/>
      <c r="B129" s="139" t="s">
        <v>1635</v>
      </c>
      <c r="C129" s="317">
        <f>[1]пр.1дох.21!C134</f>
        <v>1334.3</v>
      </c>
      <c r="D129" s="317">
        <f t="shared" si="20"/>
        <v>1334.3</v>
      </c>
      <c r="E129" s="292">
        <f>'пр.6.1.ведом.22-23 (2)'!G84</f>
        <v>1334.3</v>
      </c>
      <c r="F129" s="292">
        <f>'пр.6.1.ведом.22-23 (2)'!H84</f>
        <v>1334.3</v>
      </c>
    </row>
    <row r="130" spans="1:6" ht="78.75" x14ac:dyDescent="0.25">
      <c r="A130" s="541"/>
      <c r="B130" s="29" t="s">
        <v>1636</v>
      </c>
      <c r="C130" s="317">
        <v>22.3</v>
      </c>
      <c r="D130" s="317">
        <v>22.3</v>
      </c>
      <c r="E130" s="292">
        <f>'пр.6.1.ведом.22-23 (2)'!G506</f>
        <v>22.3</v>
      </c>
      <c r="F130" s="292">
        <f>'пр.6.1.ведом.22-23 (2)'!H506</f>
        <v>22.3</v>
      </c>
    </row>
    <row r="131" spans="1:6" ht="82.5" customHeight="1" x14ac:dyDescent="0.25">
      <c r="A131" s="541"/>
      <c r="B131" s="438" t="s">
        <v>1637</v>
      </c>
      <c r="C131" s="317">
        <v>2469.1</v>
      </c>
      <c r="D131" s="317">
        <v>10803.2</v>
      </c>
      <c r="E131" s="292">
        <f>'пр.6.1.ведом.22-23 (2)'!G536</f>
        <v>2469.1</v>
      </c>
      <c r="F131" s="292">
        <f>'пр.6.1.ведом.22-23 (2)'!H536</f>
        <v>10803.2</v>
      </c>
    </row>
    <row r="132" spans="1:6" ht="63" hidden="1" x14ac:dyDescent="0.25">
      <c r="A132" s="541"/>
      <c r="B132" s="139" t="s">
        <v>1437</v>
      </c>
      <c r="C132" s="317"/>
      <c r="D132" s="317"/>
      <c r="E132" s="292">
        <f>'пр.6.1.ведом.22-23 (2)'!G997</f>
        <v>0</v>
      </c>
      <c r="F132" s="292">
        <f>'пр.6.1.ведом.22-23 (2)'!H997</f>
        <v>0</v>
      </c>
    </row>
    <row r="133" spans="1:6" ht="63" x14ac:dyDescent="0.25">
      <c r="A133" s="541"/>
      <c r="B133" s="149" t="s">
        <v>1638</v>
      </c>
      <c r="C133" s="319">
        <f>SUM(C134:C136)</f>
        <v>12825.1</v>
      </c>
      <c r="D133" s="319">
        <f>SUM(D134:D136)</f>
        <v>12825.1</v>
      </c>
      <c r="E133" s="216"/>
      <c r="F133" s="216"/>
    </row>
    <row r="134" spans="1:6" ht="55.5" customHeight="1" x14ac:dyDescent="0.25">
      <c r="A134" s="541"/>
      <c r="B134" s="279" t="s">
        <v>1438</v>
      </c>
      <c r="C134" s="320">
        <v>9911</v>
      </c>
      <c r="D134" s="317">
        <f>C134</f>
        <v>9911</v>
      </c>
      <c r="E134" s="292">
        <f>'пр.6.1.ведом.22-23 (2)'!G700+'пр.6.1.ведом.22-23 (2)'!G621+'пр.6.1.ведом.22-23 (2)'!G558+'пр.6.1.ведом.22-23 (2)'!G320</f>
        <v>9911</v>
      </c>
      <c r="F134" s="292">
        <f>'пр.6.1.ведом.22-23 (2)'!H700+'пр.6.1.ведом.22-23 (2)'!H621+'пр.6.1.ведом.22-23 (2)'!H558+'пр.6.1.ведом.22-23 (2)'!H320</f>
        <v>9911</v>
      </c>
    </row>
    <row r="135" spans="1:6" ht="63" x14ac:dyDescent="0.25">
      <c r="A135" s="541"/>
      <c r="B135" s="279" t="s">
        <v>1439</v>
      </c>
      <c r="C135" s="320">
        <v>2100.6</v>
      </c>
      <c r="D135" s="317">
        <f>C135</f>
        <v>2100.6</v>
      </c>
      <c r="E135" s="292">
        <f>'пр.6.1.ведом.22-23 (2)'!G381</f>
        <v>2100.6</v>
      </c>
      <c r="F135" s="292">
        <f>'пр.6.1.ведом.22-23 (2)'!H381</f>
        <v>2100.6</v>
      </c>
    </row>
    <row r="136" spans="1:6" ht="45.75" customHeight="1" x14ac:dyDescent="0.25">
      <c r="A136" s="542"/>
      <c r="B136" s="279" t="s">
        <v>1440</v>
      </c>
      <c r="C136" s="320">
        <v>813.5</v>
      </c>
      <c r="D136" s="317">
        <f>C136</f>
        <v>813.5</v>
      </c>
      <c r="E136" s="292">
        <f>'пр.6.1.ведом.22-23 (2)'!G792</f>
        <v>813.5</v>
      </c>
      <c r="F136" s="292">
        <f>'пр.6.1.ведом.22-23 (2)'!H792</f>
        <v>813.5</v>
      </c>
    </row>
    <row r="137" spans="1:6" ht="63" hidden="1" x14ac:dyDescent="0.25">
      <c r="A137" s="137" t="s">
        <v>1161</v>
      </c>
      <c r="B137" s="240" t="s">
        <v>1163</v>
      </c>
      <c r="C137" s="321">
        <f>C138</f>
        <v>0</v>
      </c>
      <c r="D137" s="321">
        <f>D138</f>
        <v>0</v>
      </c>
    </row>
    <row r="138" spans="1:6" ht="63" hidden="1" x14ac:dyDescent="0.25">
      <c r="A138" s="190" t="s">
        <v>1162</v>
      </c>
      <c r="B138" s="241" t="s">
        <v>1163</v>
      </c>
      <c r="C138" s="317">
        <v>0</v>
      </c>
      <c r="D138" s="317">
        <v>0</v>
      </c>
      <c r="E138" s="216">
        <f>'пр.6.1.ведом.22-23 (2)'!G73</f>
        <v>0</v>
      </c>
      <c r="F138" s="216">
        <f>'пр.6.1.ведом.22-23 (2)'!H73</f>
        <v>0</v>
      </c>
    </row>
    <row r="139" spans="1:6" ht="31.5" x14ac:dyDescent="0.25">
      <c r="A139" s="137" t="s">
        <v>806</v>
      </c>
      <c r="B139" s="146" t="s">
        <v>103</v>
      </c>
      <c r="C139" s="295">
        <f t="shared" ref="C139:D139" si="21">C140</f>
        <v>563.20000000000005</v>
      </c>
      <c r="D139" s="295">
        <f t="shared" si="21"/>
        <v>347.7</v>
      </c>
    </row>
    <row r="140" spans="1:6" ht="31.5" x14ac:dyDescent="0.25">
      <c r="A140" s="190" t="s">
        <v>805</v>
      </c>
      <c r="B140" s="139" t="s">
        <v>104</v>
      </c>
      <c r="C140" s="300">
        <v>563.20000000000005</v>
      </c>
      <c r="D140" s="300">
        <v>347.7</v>
      </c>
      <c r="E140" s="292">
        <f>'пр.6.1.ведом.22-23 (2)'!G74</f>
        <v>563.20000000000005</v>
      </c>
      <c r="F140" s="292">
        <f>'пр.6.1.ведом.22-23 (2)'!H74</f>
        <v>347.7</v>
      </c>
    </row>
    <row r="141" spans="1:6" ht="18.75" x14ac:dyDescent="0.25">
      <c r="A141" s="137" t="s">
        <v>804</v>
      </c>
      <c r="B141" s="146" t="s">
        <v>105</v>
      </c>
      <c r="C141" s="295">
        <f>C142</f>
        <v>7226.1</v>
      </c>
      <c r="D141" s="295">
        <f>D142</f>
        <v>7226.1</v>
      </c>
    </row>
    <row r="142" spans="1:6" ht="67.7" customHeight="1" x14ac:dyDescent="0.25">
      <c r="A142" s="432" t="s">
        <v>1387</v>
      </c>
      <c r="B142" s="271" t="s">
        <v>1385</v>
      </c>
      <c r="C142" s="295">
        <f>C143</f>
        <v>7226.1</v>
      </c>
      <c r="D142" s="295">
        <f>D143</f>
        <v>7226.1</v>
      </c>
    </row>
    <row r="143" spans="1:6" ht="72" customHeight="1" x14ac:dyDescent="0.25">
      <c r="A143" s="190" t="s">
        <v>1388</v>
      </c>
      <c r="B143" s="266" t="s">
        <v>1386</v>
      </c>
      <c r="C143" s="300">
        <v>7226.1</v>
      </c>
      <c r="D143" s="300">
        <v>7226.1</v>
      </c>
      <c r="E143" s="291">
        <f>'пр.6.1.ведом.22-23 (2)'!G618</f>
        <v>7226.1</v>
      </c>
      <c r="F143" s="216">
        <f>'пр.6.1.ведом.22-23 (2)'!H618</f>
        <v>7226.1</v>
      </c>
    </row>
    <row r="144" spans="1:6" ht="18.75" hidden="1" x14ac:dyDescent="0.25">
      <c r="A144" s="137" t="s">
        <v>803</v>
      </c>
      <c r="B144" s="146" t="s">
        <v>106</v>
      </c>
      <c r="C144" s="295">
        <f t="shared" ref="C144:D144" si="22">C145</f>
        <v>0</v>
      </c>
      <c r="D144" s="295">
        <f t="shared" si="22"/>
        <v>0</v>
      </c>
    </row>
    <row r="145" spans="1:4" ht="31.5" hidden="1" x14ac:dyDescent="0.25">
      <c r="A145" s="190" t="s">
        <v>814</v>
      </c>
      <c r="B145" s="139" t="s">
        <v>1123</v>
      </c>
      <c r="C145" s="300">
        <f>SUM(C146:C148)</f>
        <v>0</v>
      </c>
      <c r="D145" s="300">
        <f>SUM(D146:D148)</f>
        <v>0</v>
      </c>
    </row>
    <row r="146" spans="1:4" ht="126" hidden="1" x14ac:dyDescent="0.25">
      <c r="A146" s="540"/>
      <c r="B146" s="149" t="s">
        <v>787</v>
      </c>
      <c r="C146" s="320">
        <f>[1]пр.1дох.21!C153</f>
        <v>0</v>
      </c>
      <c r="D146" s="320">
        <f>C146</f>
        <v>0</v>
      </c>
    </row>
    <row r="147" spans="1:4" ht="141.75" hidden="1" x14ac:dyDescent="0.25">
      <c r="A147" s="541"/>
      <c r="B147" s="149" t="s">
        <v>788</v>
      </c>
      <c r="C147" s="320">
        <f>[1]пр.1дох.21!C154</f>
        <v>0</v>
      </c>
      <c r="D147" s="320">
        <f t="shared" ref="D147:D148" si="23">C147</f>
        <v>0</v>
      </c>
    </row>
    <row r="148" spans="1:4" ht="126" hidden="1" x14ac:dyDescent="0.25">
      <c r="A148" s="542"/>
      <c r="B148" s="149" t="s">
        <v>828</v>
      </c>
      <c r="C148" s="320">
        <f>[1]пр.1дох.21!C155</f>
        <v>0</v>
      </c>
      <c r="D148" s="320">
        <f t="shared" si="23"/>
        <v>0</v>
      </c>
    </row>
    <row r="149" spans="1:4" ht="18.75" hidden="1" x14ac:dyDescent="0.25">
      <c r="A149" s="391" t="s">
        <v>783</v>
      </c>
      <c r="B149" s="184" t="s">
        <v>784</v>
      </c>
      <c r="C149" s="322">
        <f>SUM(C150)</f>
        <v>0</v>
      </c>
      <c r="D149" s="322">
        <f>SUM(D150)</f>
        <v>0</v>
      </c>
    </row>
    <row r="150" spans="1:4" ht="31.5" hidden="1" x14ac:dyDescent="0.25">
      <c r="A150" s="391" t="s">
        <v>785</v>
      </c>
      <c r="B150" s="184" t="s">
        <v>786</v>
      </c>
      <c r="C150" s="322">
        <f>SUM(C151)</f>
        <v>0</v>
      </c>
      <c r="D150" s="322">
        <f>SUM(D151)</f>
        <v>0</v>
      </c>
    </row>
    <row r="151" spans="1:4" ht="18.75" hidden="1" x14ac:dyDescent="0.25">
      <c r="A151" s="546" t="s">
        <v>833</v>
      </c>
      <c r="B151" s="186" t="s">
        <v>786</v>
      </c>
      <c r="C151" s="322">
        <f>SUM(C153:C154)</f>
        <v>0</v>
      </c>
      <c r="D151" s="322">
        <f>SUM(D153:D154)</f>
        <v>0</v>
      </c>
    </row>
    <row r="152" spans="1:4" ht="18.75" hidden="1" x14ac:dyDescent="0.25">
      <c r="A152" s="547"/>
      <c r="B152" s="186" t="s">
        <v>99</v>
      </c>
      <c r="C152" s="322"/>
      <c r="D152" s="322"/>
    </row>
    <row r="153" spans="1:4" ht="94.5" hidden="1" x14ac:dyDescent="0.25">
      <c r="A153" s="547"/>
      <c r="B153" s="185" t="s">
        <v>830</v>
      </c>
      <c r="C153" s="320">
        <v>0</v>
      </c>
      <c r="D153" s="320">
        <v>0</v>
      </c>
    </row>
    <row r="154" spans="1:4" ht="78.75" hidden="1" x14ac:dyDescent="0.25">
      <c r="A154" s="550"/>
      <c r="B154" s="185" t="s">
        <v>831</v>
      </c>
      <c r="C154" s="320">
        <v>0</v>
      </c>
      <c r="D154" s="320">
        <v>0</v>
      </c>
    </row>
    <row r="155" spans="1:4" ht="18.75" x14ac:dyDescent="0.25">
      <c r="A155" s="190"/>
      <c r="B155" s="181" t="s">
        <v>107</v>
      </c>
      <c r="C155" s="295">
        <f>SUM(C9+C74)</f>
        <v>736280.6</v>
      </c>
      <c r="D155" s="295">
        <f>SUM(D9+D74)</f>
        <v>777267.39999999991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499147.7</v>
      </c>
      <c r="D157" s="22">
        <f>D9+D78+D80</f>
        <v>509037.5</v>
      </c>
    </row>
  </sheetData>
  <mergeCells count="11">
    <mergeCell ref="H8:K8"/>
    <mergeCell ref="A100:A114"/>
    <mergeCell ref="A118:A136"/>
    <mergeCell ref="A146:A148"/>
    <mergeCell ref="A151:A154"/>
    <mergeCell ref="A6:D6"/>
    <mergeCell ref="C1:D1"/>
    <mergeCell ref="C2:D2"/>
    <mergeCell ref="C3:D3"/>
    <mergeCell ref="A4:D4"/>
    <mergeCell ref="A5:D5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  <legacy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03" sqref="C103:D103"/>
    </sheetView>
  </sheetViews>
  <sheetFormatPr defaultColWidth="9.140625" defaultRowHeight="15" x14ac:dyDescent="0.25"/>
  <cols>
    <col min="1" max="1" width="38.7109375" style="387" customWidth="1"/>
    <col min="2" max="2" width="41.42578125" style="387" customWidth="1"/>
    <col min="3" max="3" width="13" style="387" customWidth="1"/>
    <col min="4" max="4" width="14.85546875" style="387" customWidth="1"/>
    <col min="5" max="16384" width="9.140625" style="387"/>
  </cols>
  <sheetData>
    <row r="1" spans="1:4" ht="15.75" x14ac:dyDescent="0.25">
      <c r="A1" s="12"/>
      <c r="D1" s="189" t="s">
        <v>1086</v>
      </c>
    </row>
    <row r="2" spans="1:4" ht="15.75" x14ac:dyDescent="0.25">
      <c r="A2" s="12"/>
      <c r="B2" s="12"/>
      <c r="D2" s="189" t="s">
        <v>0</v>
      </c>
    </row>
    <row r="3" spans="1:4" ht="15.75" x14ac:dyDescent="0.25">
      <c r="A3" s="12"/>
      <c r="B3" s="12"/>
    </row>
    <row r="4" spans="1:4" ht="16.5" x14ac:dyDescent="0.25">
      <c r="A4" s="576" t="s">
        <v>659</v>
      </c>
      <c r="B4" s="576"/>
      <c r="C4" s="576"/>
      <c r="D4" s="576"/>
    </row>
    <row r="5" spans="1:4" ht="16.5" x14ac:dyDescent="0.25">
      <c r="A5" s="576" t="s">
        <v>1333</v>
      </c>
      <c r="B5" s="576"/>
      <c r="C5" s="576"/>
      <c r="D5" s="576"/>
    </row>
    <row r="6" spans="1:4" ht="15.75" x14ac:dyDescent="0.25">
      <c r="A6" s="434"/>
      <c r="B6" s="434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4" t="s">
        <v>1027</v>
      </c>
      <c r="D8" s="174" t="s">
        <v>1288</v>
      </c>
    </row>
    <row r="9" spans="1:4" ht="44.45" customHeight="1" x14ac:dyDescent="0.25">
      <c r="A9" s="84" t="s">
        <v>662</v>
      </c>
      <c r="B9" s="85" t="s">
        <v>663</v>
      </c>
      <c r="C9" s="217">
        <f>C10-C12</f>
        <v>0</v>
      </c>
      <c r="D9" s="217">
        <f>D10-D12</f>
        <v>0</v>
      </c>
    </row>
    <row r="10" spans="1:4" ht="33.75" customHeight="1" x14ac:dyDescent="0.25">
      <c r="A10" s="86" t="s">
        <v>664</v>
      </c>
      <c r="B10" s="87" t="s">
        <v>665</v>
      </c>
      <c r="C10" s="277">
        <f>C11</f>
        <v>0</v>
      </c>
      <c r="D10" s="217">
        <f>D11</f>
        <v>0</v>
      </c>
    </row>
    <row r="11" spans="1:4" ht="36.75" customHeight="1" x14ac:dyDescent="0.25">
      <c r="A11" s="88" t="s">
        <v>666</v>
      </c>
      <c r="B11" s="89" t="s">
        <v>667</v>
      </c>
      <c r="C11" s="263">
        <f>C19*(-1)</f>
        <v>0</v>
      </c>
      <c r="D11" s="218">
        <f>D19*(-1)</f>
        <v>0</v>
      </c>
    </row>
    <row r="12" spans="1:4" ht="33" customHeight="1" x14ac:dyDescent="0.25">
      <c r="A12" s="86" t="s">
        <v>668</v>
      </c>
      <c r="B12" s="87" t="s">
        <v>669</v>
      </c>
      <c r="C12" s="217">
        <f>C13</f>
        <v>0</v>
      </c>
      <c r="D12" s="217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63">
        <f>C11+C19</f>
        <v>0</v>
      </c>
      <c r="D13" s="218">
        <f t="shared" si="0"/>
        <v>0</v>
      </c>
    </row>
    <row r="14" spans="1:4" ht="16.5" x14ac:dyDescent="0.25">
      <c r="A14" s="86" t="s">
        <v>657</v>
      </c>
      <c r="B14" s="89"/>
      <c r="C14" s="264">
        <f>C11-C13</f>
        <v>0</v>
      </c>
      <c r="D14" s="264">
        <f>D11-D13</f>
        <v>0</v>
      </c>
    </row>
    <row r="17" spans="2:4" x14ac:dyDescent="0.25">
      <c r="B17" s="387" t="s">
        <v>672</v>
      </c>
      <c r="C17" s="276">
        <f>'Пр.1.1. дох.22-23 (2)'!C155</f>
        <v>736280.6</v>
      </c>
      <c r="D17" s="276">
        <f>'Пр.1.1. дох.22-23 (2)'!D155</f>
        <v>777267.39999999991</v>
      </c>
    </row>
    <row r="18" spans="2:4" x14ac:dyDescent="0.25">
      <c r="B18" s="387" t="s">
        <v>673</v>
      </c>
      <c r="C18" s="276">
        <f>'пр.6.1.ведом.22-23 (2)'!G1094</f>
        <v>736280.59999999986</v>
      </c>
      <c r="D18" s="276">
        <f>'пр.6.1.ведом.22-23 (2)'!H1094</f>
        <v>777267.39999999991</v>
      </c>
    </row>
    <row r="19" spans="2:4" x14ac:dyDescent="0.25">
      <c r="B19" s="387" t="s">
        <v>674</v>
      </c>
      <c r="C19" s="276">
        <f t="shared" ref="C19:D19" si="1">C17-C18</f>
        <v>0</v>
      </c>
      <c r="D19" s="276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191"/>
      <c r="D1" s="189" t="s">
        <v>1086</v>
      </c>
    </row>
    <row r="2" spans="1:4" ht="15.75" x14ac:dyDescent="0.25">
      <c r="A2" s="12"/>
      <c r="B2" s="12"/>
      <c r="D2" s="189" t="s">
        <v>0</v>
      </c>
    </row>
    <row r="3" spans="1:4" ht="15.75" x14ac:dyDescent="0.25">
      <c r="A3" s="12"/>
      <c r="B3" s="12"/>
      <c r="C3" s="191"/>
    </row>
    <row r="4" spans="1:4" ht="16.5" x14ac:dyDescent="0.25">
      <c r="A4" s="576" t="s">
        <v>659</v>
      </c>
      <c r="B4" s="576"/>
      <c r="C4" s="576"/>
      <c r="D4" s="576"/>
    </row>
    <row r="5" spans="1:4" ht="16.5" x14ac:dyDescent="0.25">
      <c r="A5" s="576" t="s">
        <v>1333</v>
      </c>
      <c r="B5" s="576"/>
      <c r="C5" s="576"/>
      <c r="D5" s="576"/>
    </row>
    <row r="6" spans="1:4" ht="15.75" x14ac:dyDescent="0.25">
      <c r="A6" s="82"/>
      <c r="B6" s="82"/>
      <c r="C6" s="191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4" t="s">
        <v>1027</v>
      </c>
      <c r="D8" s="174" t="s">
        <v>1288</v>
      </c>
    </row>
    <row r="9" spans="1:4" ht="44.45" customHeight="1" x14ac:dyDescent="0.25">
      <c r="A9" s="84" t="s">
        <v>662</v>
      </c>
      <c r="B9" s="85" t="s">
        <v>663</v>
      </c>
      <c r="C9" s="217">
        <f>C10-C12</f>
        <v>729219.40602499992</v>
      </c>
      <c r="D9" s="217">
        <f>D10-D12</f>
        <v>775955.24999999988</v>
      </c>
    </row>
    <row r="10" spans="1:4" ht="33.75" customHeight="1" x14ac:dyDescent="0.25">
      <c r="A10" s="86" t="s">
        <v>664</v>
      </c>
      <c r="B10" s="87" t="s">
        <v>665</v>
      </c>
      <c r="C10" s="277">
        <f>C11</f>
        <v>729219.40602499992</v>
      </c>
      <c r="D10" s="217">
        <f>D11</f>
        <v>775955.24999999988</v>
      </c>
    </row>
    <row r="11" spans="1:4" ht="36.75" customHeight="1" x14ac:dyDescent="0.25">
      <c r="A11" s="88" t="s">
        <v>666</v>
      </c>
      <c r="B11" s="89" t="s">
        <v>667</v>
      </c>
      <c r="C11" s="263">
        <f>C19*(-1)</f>
        <v>729219.40602499992</v>
      </c>
      <c r="D11" s="218">
        <f>D19*(-1)</f>
        <v>775955.24999999988</v>
      </c>
    </row>
    <row r="12" spans="1:4" ht="33" customHeight="1" x14ac:dyDescent="0.25">
      <c r="A12" s="86" t="s">
        <v>668</v>
      </c>
      <c r="B12" s="87" t="s">
        <v>669</v>
      </c>
      <c r="C12" s="217">
        <f>C13</f>
        <v>0</v>
      </c>
      <c r="D12" s="217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63">
        <f>C11+C19</f>
        <v>0</v>
      </c>
      <c r="D13" s="218">
        <f t="shared" si="0"/>
        <v>0</v>
      </c>
    </row>
    <row r="14" spans="1:4" ht="16.5" x14ac:dyDescent="0.25">
      <c r="A14" s="86" t="s">
        <v>657</v>
      </c>
      <c r="B14" s="89"/>
      <c r="C14" s="264">
        <f>C11-C13</f>
        <v>729219.40602499992</v>
      </c>
      <c r="D14" s="264">
        <f>D11-D13</f>
        <v>775955.24999999988</v>
      </c>
    </row>
    <row r="15" spans="1:4" x14ac:dyDescent="0.25">
      <c r="A15" s="191"/>
      <c r="B15" s="191"/>
      <c r="C15" s="191"/>
    </row>
    <row r="16" spans="1:4" x14ac:dyDescent="0.25">
      <c r="A16" s="191"/>
      <c r="B16" s="191"/>
      <c r="C16" s="191"/>
    </row>
    <row r="17" spans="1:4" x14ac:dyDescent="0.25">
      <c r="A17" s="191"/>
      <c r="B17" s="191" t="s">
        <v>672</v>
      </c>
      <c r="C17" s="276">
        <f>'Пр.1. дох.21'!C153</f>
        <v>341.4</v>
      </c>
      <c r="D17" s="276">
        <f>'Пр.1. дох.21'!D153</f>
        <v>283.8</v>
      </c>
    </row>
    <row r="18" spans="1:4" x14ac:dyDescent="0.25">
      <c r="A18" s="191"/>
      <c r="B18" s="191" t="s">
        <v>673</v>
      </c>
      <c r="C18" s="276">
        <f>'пр.4.1.ведом.22-23'!G1094</f>
        <v>729560.80602499994</v>
      </c>
      <c r="D18" s="276">
        <f>'пр.4.1.ведом.22-23'!H1094</f>
        <v>776239.04999999993</v>
      </c>
    </row>
    <row r="19" spans="1:4" x14ac:dyDescent="0.25">
      <c r="A19" s="191"/>
      <c r="B19" s="191" t="s">
        <v>674</v>
      </c>
      <c r="C19" s="276">
        <f t="shared" ref="C19:D19" si="1">C17-C18</f>
        <v>-729219.40602499992</v>
      </c>
      <c r="D19" s="276">
        <f t="shared" si="1"/>
        <v>-775955.24999999988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topLeftCell="B1" zoomScaleNormal="100" workbookViewId="0">
      <selection activeCell="H27" sqref="H27:H28"/>
    </sheetView>
  </sheetViews>
  <sheetFormatPr defaultRowHeight="15.75" x14ac:dyDescent="0.25"/>
  <cols>
    <col min="1" max="1" width="32.28515625" style="446" hidden="1" customWidth="1"/>
    <col min="2" max="2" width="32.28515625" style="446" customWidth="1"/>
    <col min="3" max="3" width="6" style="446" customWidth="1"/>
    <col min="4" max="4" width="6.28515625" style="446" customWidth="1"/>
    <col min="5" max="5" width="6.7109375" style="446" customWidth="1"/>
    <col min="6" max="6" width="15.28515625" style="446" customWidth="1"/>
    <col min="7" max="7" width="10.28515625" style="446" customWidth="1"/>
    <col min="8" max="8" width="21.42578125" style="448" customWidth="1"/>
    <col min="9" max="9" width="32.28515625" style="446" customWidth="1"/>
  </cols>
  <sheetData>
    <row r="4" spans="1:9" ht="63.6" customHeight="1" x14ac:dyDescent="0.25">
      <c r="B4" s="577" t="s">
        <v>1660</v>
      </c>
      <c r="C4" s="390">
        <v>903</v>
      </c>
      <c r="D4" s="392" t="s">
        <v>264</v>
      </c>
      <c r="E4" s="392" t="s">
        <v>215</v>
      </c>
      <c r="F4" s="392" t="s">
        <v>1661</v>
      </c>
      <c r="G4" s="392" t="s">
        <v>1662</v>
      </c>
      <c r="H4" s="447">
        <v>140500</v>
      </c>
    </row>
    <row r="5" spans="1:9" x14ac:dyDescent="0.25">
      <c r="B5" s="577"/>
      <c r="C5" s="390">
        <v>903</v>
      </c>
      <c r="D5" s="392" t="s">
        <v>264</v>
      </c>
      <c r="E5" s="392" t="s">
        <v>215</v>
      </c>
      <c r="F5" s="392" t="s">
        <v>1661</v>
      </c>
      <c r="G5" s="392" t="s">
        <v>1663</v>
      </c>
      <c r="H5" s="447">
        <v>42400</v>
      </c>
    </row>
    <row r="6" spans="1:9" s="387" customFormat="1" x14ac:dyDescent="0.25">
      <c r="A6" s="446"/>
      <c r="B6" s="449" t="s">
        <v>1673</v>
      </c>
      <c r="C6" s="390"/>
      <c r="D6" s="392"/>
      <c r="E6" s="392"/>
      <c r="F6" s="392"/>
      <c r="G6" s="392"/>
      <c r="H6" s="447">
        <f>SUM(H4:H5)</f>
        <v>182900</v>
      </c>
      <c r="I6" s="446"/>
    </row>
    <row r="7" spans="1:9" ht="27.6" customHeight="1" x14ac:dyDescent="0.25">
      <c r="B7" s="577" t="s">
        <v>1660</v>
      </c>
      <c r="C7" s="390">
        <v>903</v>
      </c>
      <c r="D7" s="392" t="s">
        <v>238</v>
      </c>
      <c r="E7" s="392" t="s">
        <v>213</v>
      </c>
      <c r="F7" s="392" t="s">
        <v>1661</v>
      </c>
      <c r="G7" s="392" t="s">
        <v>1662</v>
      </c>
      <c r="H7" s="447">
        <v>90300</v>
      </c>
    </row>
    <row r="8" spans="1:9" ht="31.15" customHeight="1" x14ac:dyDescent="0.25">
      <c r="B8" s="577"/>
      <c r="C8" s="390">
        <v>903</v>
      </c>
      <c r="D8" s="392" t="s">
        <v>238</v>
      </c>
      <c r="E8" s="392" t="s">
        <v>213</v>
      </c>
      <c r="F8" s="392" t="s">
        <v>1661</v>
      </c>
      <c r="G8" s="392" t="s">
        <v>1663</v>
      </c>
      <c r="H8" s="447">
        <v>27250</v>
      </c>
    </row>
    <row r="9" spans="1:9" s="387" customFormat="1" x14ac:dyDescent="0.25">
      <c r="A9" s="446"/>
      <c r="B9" s="449" t="s">
        <v>1674</v>
      </c>
      <c r="C9" s="390"/>
      <c r="D9" s="392"/>
      <c r="E9" s="392"/>
      <c r="F9" s="392"/>
      <c r="G9" s="392"/>
      <c r="H9" s="447">
        <f>SUM(H7:H8)</f>
        <v>117550</v>
      </c>
      <c r="I9" s="446"/>
    </row>
    <row r="10" spans="1:9" s="387" customFormat="1" ht="27.6" customHeight="1" x14ac:dyDescent="0.25">
      <c r="A10" s="446"/>
      <c r="B10" s="577" t="s">
        <v>1660</v>
      </c>
      <c r="C10" s="390">
        <v>906</v>
      </c>
      <c r="D10" s="392" t="s">
        <v>264</v>
      </c>
      <c r="E10" s="392" t="s">
        <v>215</v>
      </c>
      <c r="F10" s="392" t="s">
        <v>1664</v>
      </c>
      <c r="G10" s="392" t="s">
        <v>1669</v>
      </c>
      <c r="H10" s="447">
        <v>205680</v>
      </c>
      <c r="I10" s="446"/>
    </row>
    <row r="11" spans="1:9" s="387" customFormat="1" ht="31.15" customHeight="1" x14ac:dyDescent="0.25">
      <c r="A11" s="446"/>
      <c r="B11" s="577"/>
      <c r="C11" s="390">
        <v>903</v>
      </c>
      <c r="D11" s="392" t="s">
        <v>264</v>
      </c>
      <c r="E11" s="392" t="s">
        <v>215</v>
      </c>
      <c r="F11" s="392" t="s">
        <v>1664</v>
      </c>
      <c r="G11" s="392" t="s">
        <v>1670</v>
      </c>
      <c r="H11" s="447">
        <v>62120</v>
      </c>
      <c r="I11" s="446"/>
    </row>
    <row r="12" spans="1:9" x14ac:dyDescent="0.25">
      <c r="B12" s="450" t="s">
        <v>1675</v>
      </c>
      <c r="C12" s="450"/>
      <c r="D12" s="450"/>
      <c r="E12" s="450"/>
      <c r="F12" s="450"/>
      <c r="G12" s="450"/>
      <c r="H12" s="447">
        <f>SUM(H10:H11)</f>
        <v>267800</v>
      </c>
    </row>
    <row r="13" spans="1:9" ht="44.45" customHeight="1" x14ac:dyDescent="0.25">
      <c r="B13" s="577" t="s">
        <v>1660</v>
      </c>
      <c r="C13" s="390">
        <v>907</v>
      </c>
      <c r="D13" s="392" t="s">
        <v>491</v>
      </c>
      <c r="E13" s="392" t="s">
        <v>118</v>
      </c>
      <c r="F13" s="392" t="s">
        <v>1665</v>
      </c>
      <c r="G13" s="392" t="s">
        <v>1669</v>
      </c>
      <c r="H13" s="447">
        <v>230890</v>
      </c>
    </row>
    <row r="14" spans="1:9" ht="36" customHeight="1" x14ac:dyDescent="0.25">
      <c r="B14" s="577"/>
      <c r="C14" s="390">
        <v>907</v>
      </c>
      <c r="D14" s="392" t="s">
        <v>491</v>
      </c>
      <c r="E14" s="392" t="s">
        <v>118</v>
      </c>
      <c r="F14" s="392" t="s">
        <v>1665</v>
      </c>
      <c r="G14" s="392" t="s">
        <v>1670</v>
      </c>
      <c r="H14" s="447">
        <v>69710</v>
      </c>
    </row>
    <row r="15" spans="1:9" x14ac:dyDescent="0.25">
      <c r="B15" s="450" t="s">
        <v>1666</v>
      </c>
      <c r="C15" s="450"/>
      <c r="D15" s="450"/>
      <c r="E15" s="450"/>
      <c r="F15" s="450"/>
      <c r="G15" s="450"/>
      <c r="H15" s="447">
        <f>SUM(H13:H14)</f>
        <v>300600</v>
      </c>
    </row>
    <row r="16" spans="1:9" ht="50.45" customHeight="1" x14ac:dyDescent="0.25">
      <c r="B16" s="577" t="s">
        <v>1660</v>
      </c>
      <c r="C16" s="390">
        <v>907</v>
      </c>
      <c r="D16" s="392" t="s">
        <v>491</v>
      </c>
      <c r="E16" s="392" t="s">
        <v>118</v>
      </c>
      <c r="F16" s="392" t="s">
        <v>1665</v>
      </c>
      <c r="G16" s="392" t="s">
        <v>1669</v>
      </c>
      <c r="H16" s="447">
        <v>210320</v>
      </c>
    </row>
    <row r="17" spans="2:9" ht="25.9" customHeight="1" x14ac:dyDescent="0.25">
      <c r="B17" s="577"/>
      <c r="C17" s="390">
        <v>907</v>
      </c>
      <c r="D17" s="392" t="s">
        <v>491</v>
      </c>
      <c r="E17" s="392" t="s">
        <v>118</v>
      </c>
      <c r="F17" s="392" t="s">
        <v>1665</v>
      </c>
      <c r="G17" s="392" t="s">
        <v>1670</v>
      </c>
      <c r="H17" s="447">
        <v>63530</v>
      </c>
    </row>
    <row r="18" spans="2:9" x14ac:dyDescent="0.25">
      <c r="B18" s="450" t="s">
        <v>1667</v>
      </c>
      <c r="C18" s="450"/>
      <c r="D18" s="450"/>
      <c r="E18" s="450"/>
      <c r="F18" s="450"/>
      <c r="G18" s="450"/>
      <c r="H18" s="447">
        <f>SUM(H16:H17)</f>
        <v>273850</v>
      </c>
      <c r="I18" s="451">
        <f>H15+H18+H21</f>
        <v>922200</v>
      </c>
    </row>
    <row r="19" spans="2:9" ht="48" customHeight="1" x14ac:dyDescent="0.25">
      <c r="B19" s="577" t="s">
        <v>1660</v>
      </c>
      <c r="C19" s="390">
        <v>907</v>
      </c>
      <c r="D19" s="392" t="s">
        <v>491</v>
      </c>
      <c r="E19" s="392" t="s">
        <v>118</v>
      </c>
      <c r="F19" s="392" t="s">
        <v>1665</v>
      </c>
      <c r="G19" s="392" t="s">
        <v>1669</v>
      </c>
      <c r="H19" s="447">
        <v>267110</v>
      </c>
    </row>
    <row r="20" spans="2:9" ht="26.45" customHeight="1" x14ac:dyDescent="0.25">
      <c r="B20" s="577"/>
      <c r="C20" s="390">
        <v>907</v>
      </c>
      <c r="D20" s="392" t="s">
        <v>491</v>
      </c>
      <c r="E20" s="392" t="s">
        <v>118</v>
      </c>
      <c r="F20" s="392" t="s">
        <v>1665</v>
      </c>
      <c r="G20" s="392" t="s">
        <v>1670</v>
      </c>
      <c r="H20" s="447">
        <v>80640</v>
      </c>
    </row>
    <row r="21" spans="2:9" x14ac:dyDescent="0.25">
      <c r="B21" s="450" t="s">
        <v>1668</v>
      </c>
      <c r="C21" s="450"/>
      <c r="D21" s="450"/>
      <c r="E21" s="450"/>
      <c r="F21" s="450"/>
      <c r="G21" s="450"/>
      <c r="H21" s="447">
        <f>SUM(H19:H20)</f>
        <v>347750</v>
      </c>
    </row>
    <row r="22" spans="2:9" ht="41.45" customHeight="1" x14ac:dyDescent="0.25">
      <c r="B22" s="577" t="s">
        <v>1660</v>
      </c>
      <c r="C22" s="390">
        <v>908</v>
      </c>
      <c r="D22" s="392" t="s">
        <v>118</v>
      </c>
      <c r="E22" s="392" t="s">
        <v>140</v>
      </c>
      <c r="F22" s="392" t="s">
        <v>1676</v>
      </c>
      <c r="G22" s="392" t="s">
        <v>1662</v>
      </c>
      <c r="H22" s="447">
        <v>635150</v>
      </c>
    </row>
    <row r="23" spans="2:9" ht="24.6" customHeight="1" x14ac:dyDescent="0.25">
      <c r="B23" s="577"/>
      <c r="C23" s="390">
        <v>908</v>
      </c>
      <c r="D23" s="392" t="s">
        <v>118</v>
      </c>
      <c r="E23" s="392" t="s">
        <v>140</v>
      </c>
      <c r="F23" s="392" t="s">
        <v>1676</v>
      </c>
      <c r="G23" s="392" t="s">
        <v>1663</v>
      </c>
      <c r="H23" s="447">
        <v>191800</v>
      </c>
    </row>
    <row r="24" spans="2:9" x14ac:dyDescent="0.25">
      <c r="B24" s="450" t="s">
        <v>1671</v>
      </c>
      <c r="C24" s="450"/>
      <c r="D24" s="450"/>
      <c r="E24" s="450"/>
      <c r="F24" s="450"/>
      <c r="G24" s="450"/>
      <c r="H24" s="447">
        <f>SUM(H22:H23)</f>
        <v>826950</v>
      </c>
    </row>
    <row r="25" spans="2:9" x14ac:dyDescent="0.25">
      <c r="B25" s="450" t="s">
        <v>1672</v>
      </c>
      <c r="C25" s="450"/>
      <c r="D25" s="450"/>
      <c r="E25" s="450"/>
      <c r="F25" s="450"/>
      <c r="G25" s="450"/>
      <c r="H25" s="447">
        <f>H6+H9+H12+H15+H18+H21+H24</f>
        <v>2317400</v>
      </c>
    </row>
    <row r="27" spans="2:9" x14ac:dyDescent="0.25">
      <c r="H27" s="448">
        <f>H4+H7+H10+H13+H16+H19+H22</f>
        <v>1779950</v>
      </c>
    </row>
    <row r="28" spans="2:9" x14ac:dyDescent="0.25">
      <c r="H28" s="448">
        <f>H5+H8+H11+H14+H17+H20+H23</f>
        <v>537450</v>
      </c>
    </row>
  </sheetData>
  <mergeCells count="7">
    <mergeCell ref="B19:B20"/>
    <mergeCell ref="B22:B23"/>
    <mergeCell ref="B4:B5"/>
    <mergeCell ref="B7:B8"/>
    <mergeCell ref="B10:B11"/>
    <mergeCell ref="B13:B14"/>
    <mergeCell ref="B16:B17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8" zoomScale="90" zoomScaleNormal="100" zoomScaleSheetLayoutView="90" workbookViewId="0">
      <selection activeCell="H6" sqref="H6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6" width="14.42578125" style="22" customWidth="1"/>
  </cols>
  <sheetData>
    <row r="1" spans="1:7" ht="15.75" x14ac:dyDescent="0.25">
      <c r="A1" s="11"/>
      <c r="E1" s="551" t="s">
        <v>1687</v>
      </c>
      <c r="F1" s="551"/>
      <c r="G1" s="551"/>
    </row>
    <row r="2" spans="1:7" ht="15.75" x14ac:dyDescent="0.25">
      <c r="A2" s="11"/>
      <c r="E2" s="551" t="s">
        <v>0</v>
      </c>
      <c r="F2" s="551"/>
      <c r="G2" s="551"/>
    </row>
    <row r="3" spans="1:7" ht="18.75" customHeight="1" x14ac:dyDescent="0.25">
      <c r="A3" s="11"/>
      <c r="E3" s="551" t="s">
        <v>1828</v>
      </c>
      <c r="F3" s="551"/>
      <c r="G3" s="551"/>
    </row>
    <row r="4" spans="1:7" s="387" customFormat="1" ht="18.75" customHeight="1" x14ac:dyDescent="0.25">
      <c r="A4" s="11"/>
      <c r="D4" s="22"/>
      <c r="E4" s="501"/>
      <c r="F4" s="501"/>
      <c r="G4" s="501"/>
    </row>
    <row r="5" spans="1:7" ht="31.15" customHeight="1" x14ac:dyDescent="0.25">
      <c r="A5" s="553" t="s">
        <v>1814</v>
      </c>
      <c r="B5" s="553"/>
      <c r="C5" s="553"/>
      <c r="D5" s="553"/>
      <c r="E5" s="553"/>
      <c r="F5" s="553"/>
    </row>
    <row r="6" spans="1:7" ht="15.75" x14ac:dyDescent="0.25">
      <c r="A6" s="552" t="s">
        <v>1692</v>
      </c>
      <c r="B6" s="552"/>
      <c r="C6" s="552"/>
      <c r="D6" s="552"/>
      <c r="E6"/>
      <c r="F6"/>
    </row>
    <row r="7" spans="1:7" ht="66.2" customHeight="1" x14ac:dyDescent="0.25">
      <c r="A7" s="91" t="s">
        <v>675</v>
      </c>
      <c r="B7" s="91" t="s">
        <v>676</v>
      </c>
      <c r="C7" s="91" t="s">
        <v>677</v>
      </c>
      <c r="D7" s="336" t="s">
        <v>1703</v>
      </c>
      <c r="E7" s="336" t="s">
        <v>1705</v>
      </c>
      <c r="F7" s="336" t="s">
        <v>1704</v>
      </c>
    </row>
    <row r="8" spans="1:7" ht="15.75" x14ac:dyDescent="0.25">
      <c r="A8" s="47" t="s">
        <v>117</v>
      </c>
      <c r="B8" s="24" t="s">
        <v>118</v>
      </c>
      <c r="C8" s="92"/>
      <c r="D8" s="328">
        <f>SUM(D9:D15)</f>
        <v>177451.61987999998</v>
      </c>
      <c r="E8" s="328">
        <f t="shared" ref="E8" si="0">SUM(E9:E15)</f>
        <v>172737.87800000003</v>
      </c>
      <c r="F8" s="328">
        <f>E8/D8*100</f>
        <v>97.343646745412869</v>
      </c>
    </row>
    <row r="9" spans="1:7" ht="31.5" x14ac:dyDescent="0.25">
      <c r="A9" s="31" t="s">
        <v>575</v>
      </c>
      <c r="B9" s="20" t="s">
        <v>118</v>
      </c>
      <c r="C9" s="20" t="s">
        <v>213</v>
      </c>
      <c r="D9" s="27">
        <f>'Пр.3 Рд,пр, ЦС,ВР 21'!F9</f>
        <v>5241.54</v>
      </c>
      <c r="E9" s="27">
        <f>'Пр.3 Рд,пр, ЦС,ВР 21'!G9</f>
        <v>5172.8679999999995</v>
      </c>
      <c r="F9" s="330">
        <f t="shared" ref="F9:F49" si="1">E9/D9*100</f>
        <v>98.689850692735334</v>
      </c>
    </row>
    <row r="10" spans="1:7" ht="47.25" x14ac:dyDescent="0.25">
      <c r="A10" s="31" t="s">
        <v>578</v>
      </c>
      <c r="B10" s="20" t="s">
        <v>118</v>
      </c>
      <c r="C10" s="20" t="s">
        <v>215</v>
      </c>
      <c r="D10" s="27">
        <f>'Пр.3 Рд,пр, ЦС,ВР 21'!F28</f>
        <v>6460.1337000000003</v>
      </c>
      <c r="E10" s="27">
        <f>'Пр.3 Рд,пр, ЦС,ВР 21'!G28</f>
        <v>6390.6880000000001</v>
      </c>
      <c r="F10" s="330">
        <f t="shared" si="1"/>
        <v>98.925011412689486</v>
      </c>
    </row>
    <row r="11" spans="1:7" ht="47.25" x14ac:dyDescent="0.25">
      <c r="A11" s="25" t="s">
        <v>149</v>
      </c>
      <c r="B11" s="20" t="s">
        <v>118</v>
      </c>
      <c r="C11" s="20" t="s">
        <v>150</v>
      </c>
      <c r="D11" s="27">
        <f>'Пр.3 Рд,пр, ЦС,ВР 21'!F47</f>
        <v>69734.410049999991</v>
      </c>
      <c r="E11" s="27">
        <f>'Пр.3 Рд,пр, ЦС,ВР 21'!G47</f>
        <v>68204.594000000012</v>
      </c>
      <c r="F11" s="330">
        <f t="shared" si="1"/>
        <v>97.806225005842748</v>
      </c>
    </row>
    <row r="12" spans="1:7" ht="31.5" x14ac:dyDescent="0.25">
      <c r="A12" s="25" t="s">
        <v>119</v>
      </c>
      <c r="B12" s="20" t="s">
        <v>118</v>
      </c>
      <c r="C12" s="20" t="s">
        <v>120</v>
      </c>
      <c r="D12" s="27">
        <f>'Пр.3 Рд,пр, ЦС,ВР 21'!F111</f>
        <v>17998.234900000003</v>
      </c>
      <c r="E12" s="27">
        <f>'Пр.3 Рд,пр, ЦС,ВР 21'!G111</f>
        <v>17649.433000000001</v>
      </c>
      <c r="F12" s="330">
        <f t="shared" si="1"/>
        <v>98.062021626354024</v>
      </c>
    </row>
    <row r="13" spans="1:7" s="191" customFormat="1" ht="15.75" hidden="1" x14ac:dyDescent="0.25">
      <c r="A13" s="25" t="s">
        <v>1145</v>
      </c>
      <c r="B13" s="20" t="s">
        <v>118</v>
      </c>
      <c r="C13" s="20" t="s">
        <v>264</v>
      </c>
      <c r="D13" s="27">
        <f>'Пр.3 Рд,пр, ЦС,ВР 21'!F148</f>
        <v>0</v>
      </c>
      <c r="E13" s="27">
        <f>'Пр.3 Рд,пр, ЦС,ВР 21'!G148</f>
        <v>0</v>
      </c>
      <c r="F13" s="330" t="e">
        <f t="shared" si="1"/>
        <v>#DIV/0!</v>
      </c>
    </row>
    <row r="14" spans="1:7" s="191" customFormat="1" ht="15.75" x14ac:dyDescent="0.25">
      <c r="A14" s="25" t="s">
        <v>1406</v>
      </c>
      <c r="B14" s="20" t="s">
        <v>118</v>
      </c>
      <c r="C14" s="20" t="s">
        <v>491</v>
      </c>
      <c r="D14" s="27">
        <f>'Пр.3 Рд,пр, ЦС,ВР 21'!F156</f>
        <v>50</v>
      </c>
      <c r="E14" s="27">
        <f>'Пр.3 Рд,пр, ЦС,ВР 21'!G156</f>
        <v>0</v>
      </c>
      <c r="F14" s="330">
        <f t="shared" si="1"/>
        <v>0</v>
      </c>
    </row>
    <row r="15" spans="1:7" ht="15.75" x14ac:dyDescent="0.25">
      <c r="A15" s="93" t="s">
        <v>139</v>
      </c>
      <c r="B15" s="20" t="s">
        <v>118</v>
      </c>
      <c r="C15" s="20" t="s">
        <v>140</v>
      </c>
      <c r="D15" s="27">
        <f>'Пр.3 Рд,пр, ЦС,ВР 21'!F162</f>
        <v>77967.301229999983</v>
      </c>
      <c r="E15" s="27">
        <f>'Пр.3 Рд,пр, ЦС,ВР 21'!G162</f>
        <v>75320.294999999998</v>
      </c>
      <c r="F15" s="330">
        <f t="shared" si="1"/>
        <v>96.604979025512975</v>
      </c>
    </row>
    <row r="16" spans="1:7" ht="15.75" hidden="1" x14ac:dyDescent="0.25">
      <c r="A16" s="19" t="s">
        <v>212</v>
      </c>
      <c r="B16" s="24" t="s">
        <v>213</v>
      </c>
      <c r="C16" s="20"/>
      <c r="D16" s="44">
        <f t="shared" ref="D16:E16" si="2">D17</f>
        <v>0</v>
      </c>
      <c r="E16" s="44">
        <f t="shared" si="2"/>
        <v>0</v>
      </c>
      <c r="F16" s="330" t="e">
        <f t="shared" si="1"/>
        <v>#DIV/0!</v>
      </c>
    </row>
    <row r="17" spans="1:6" ht="15.75" hidden="1" x14ac:dyDescent="0.25">
      <c r="A17" s="25" t="s">
        <v>218</v>
      </c>
      <c r="B17" s="20" t="s">
        <v>213</v>
      </c>
      <c r="C17" s="20" t="s">
        <v>219</v>
      </c>
      <c r="D17" s="27"/>
      <c r="E17" s="27"/>
      <c r="F17" s="330" t="e">
        <f t="shared" si="1"/>
        <v>#DIV/0!</v>
      </c>
    </row>
    <row r="18" spans="1:6" ht="18" customHeight="1" x14ac:dyDescent="0.25">
      <c r="A18" s="34" t="s">
        <v>222</v>
      </c>
      <c r="B18" s="24" t="s">
        <v>215</v>
      </c>
      <c r="C18" s="24"/>
      <c r="D18" s="44">
        <f t="shared" ref="D18:E18" si="3">D19</f>
        <v>7435.9079100000008</v>
      </c>
      <c r="E18" s="44">
        <f t="shared" si="3"/>
        <v>7330.0119999999997</v>
      </c>
      <c r="F18" s="328">
        <f t="shared" si="1"/>
        <v>98.575884595644467</v>
      </c>
    </row>
    <row r="19" spans="1:6" ht="31.5" x14ac:dyDescent="0.25">
      <c r="A19" s="31" t="s">
        <v>1344</v>
      </c>
      <c r="B19" s="20" t="s">
        <v>215</v>
      </c>
      <c r="C19" s="20" t="s">
        <v>244</v>
      </c>
      <c r="D19" s="27">
        <f>'Пр.3 Рд,пр, ЦС,ВР 21'!F260</f>
        <v>7435.9079100000008</v>
      </c>
      <c r="E19" s="27">
        <f>'Пр.3 Рд,пр, ЦС,ВР 21'!G260</f>
        <v>7330.0119999999997</v>
      </c>
      <c r="F19" s="330">
        <f t="shared" si="1"/>
        <v>98.575884595644467</v>
      </c>
    </row>
    <row r="20" spans="1:6" ht="15.75" x14ac:dyDescent="0.25">
      <c r="A20" s="47" t="s">
        <v>232</v>
      </c>
      <c r="B20" s="24" t="s">
        <v>150</v>
      </c>
      <c r="C20" s="24"/>
      <c r="D20" s="44">
        <f t="shared" ref="D20:E20" si="4">D21+D22+D23+D24</f>
        <v>8485.7000000000007</v>
      </c>
      <c r="E20" s="44">
        <f t="shared" si="4"/>
        <v>8394.0419999999995</v>
      </c>
      <c r="F20" s="328">
        <f t="shared" si="1"/>
        <v>98.919853400426589</v>
      </c>
    </row>
    <row r="21" spans="1:6" ht="15.75" x14ac:dyDescent="0.25">
      <c r="A21" s="94" t="s">
        <v>233</v>
      </c>
      <c r="B21" s="20" t="s">
        <v>150</v>
      </c>
      <c r="C21" s="20" t="s">
        <v>234</v>
      </c>
      <c r="D21" s="27">
        <f>'Пр.3 Рд,пр, ЦС,ВР 21'!F290</f>
        <v>19</v>
      </c>
      <c r="E21" s="27">
        <f>'Пр.3 Рд,пр, ЦС,ВР 21'!G290</f>
        <v>0</v>
      </c>
      <c r="F21" s="330">
        <f t="shared" si="1"/>
        <v>0</v>
      </c>
    </row>
    <row r="22" spans="1:6" ht="15.75" x14ac:dyDescent="0.25">
      <c r="A22" s="93" t="s">
        <v>505</v>
      </c>
      <c r="B22" s="20" t="s">
        <v>150</v>
      </c>
      <c r="C22" s="20" t="s">
        <v>299</v>
      </c>
      <c r="D22" s="27">
        <f>'Пр.3 Рд,пр, ЦС,ВР 21'!F300</f>
        <v>3258</v>
      </c>
      <c r="E22" s="27">
        <f>'Пр.3 Рд,пр, ЦС,ВР 21'!G300</f>
        <v>3258</v>
      </c>
      <c r="F22" s="330">
        <f t="shared" si="1"/>
        <v>100</v>
      </c>
    </row>
    <row r="23" spans="1:6" ht="15.75" x14ac:dyDescent="0.25">
      <c r="A23" s="93" t="s">
        <v>508</v>
      </c>
      <c r="B23" s="20" t="s">
        <v>150</v>
      </c>
      <c r="C23" s="20" t="s">
        <v>219</v>
      </c>
      <c r="D23" s="27">
        <f>'Пр.3 Рд,пр, ЦС,ВР 21'!F306</f>
        <v>4844.5</v>
      </c>
      <c r="E23" s="27">
        <f>'Пр.3 Рд,пр, ЦС,ВР 21'!G306</f>
        <v>4771.8419999999996</v>
      </c>
      <c r="F23" s="330">
        <f t="shared" si="1"/>
        <v>98.500196098668596</v>
      </c>
    </row>
    <row r="24" spans="1:6" ht="15.75" x14ac:dyDescent="0.25">
      <c r="A24" s="95" t="s">
        <v>237</v>
      </c>
      <c r="B24" s="20" t="s">
        <v>150</v>
      </c>
      <c r="C24" s="20" t="s">
        <v>238</v>
      </c>
      <c r="D24" s="27">
        <f>'Пр.3 Рд,пр, ЦС,ВР 21'!F320</f>
        <v>364.2</v>
      </c>
      <c r="E24" s="27">
        <f>'Пр.3 Рд,пр, ЦС,ВР 21'!G320</f>
        <v>364.2</v>
      </c>
      <c r="F24" s="330">
        <f t="shared" si="1"/>
        <v>100</v>
      </c>
    </row>
    <row r="25" spans="1:6" ht="15.75" x14ac:dyDescent="0.25">
      <c r="A25" s="47" t="s">
        <v>390</v>
      </c>
      <c r="B25" s="24" t="s">
        <v>234</v>
      </c>
      <c r="C25" s="24"/>
      <c r="D25" s="44">
        <f t="shared" ref="D25:E25" si="5">SUM(D26:D29)</f>
        <v>201358.07167999999</v>
      </c>
      <c r="E25" s="44">
        <f t="shared" si="5"/>
        <v>192991.54300000001</v>
      </c>
      <c r="F25" s="328">
        <f t="shared" si="1"/>
        <v>95.844949939083563</v>
      </c>
    </row>
    <row r="26" spans="1:6" ht="15.75" x14ac:dyDescent="0.25">
      <c r="A26" s="94" t="s">
        <v>391</v>
      </c>
      <c r="B26" s="20" t="s">
        <v>234</v>
      </c>
      <c r="C26" s="20" t="s">
        <v>118</v>
      </c>
      <c r="D26" s="27">
        <f>'Пр.3 Рд,пр, ЦС,ВР 21'!F352</f>
        <v>23849.203469999997</v>
      </c>
      <c r="E26" s="27">
        <f>'Пр.3 Рд,пр, ЦС,ВР 21'!G352</f>
        <v>23441.882999999998</v>
      </c>
      <c r="F26" s="330">
        <f t="shared" si="1"/>
        <v>98.292100318937827</v>
      </c>
    </row>
    <row r="27" spans="1:6" ht="15.75" x14ac:dyDescent="0.25">
      <c r="A27" s="94" t="s">
        <v>517</v>
      </c>
      <c r="B27" s="20" t="s">
        <v>234</v>
      </c>
      <c r="C27" s="20" t="s">
        <v>213</v>
      </c>
      <c r="D27" s="27">
        <f>'Пр.3 Рд,пр, ЦС,ВР 21'!F369</f>
        <v>92512.65241000001</v>
      </c>
      <c r="E27" s="27">
        <f>'Пр.3 Рд,пр, ЦС,ВР 21'!G369</f>
        <v>87376.1</v>
      </c>
      <c r="F27" s="330">
        <f t="shared" si="1"/>
        <v>94.4477298226888</v>
      </c>
    </row>
    <row r="28" spans="1:6" ht="15.75" x14ac:dyDescent="0.25">
      <c r="A28" s="93" t="s">
        <v>541</v>
      </c>
      <c r="B28" s="20" t="s">
        <v>234</v>
      </c>
      <c r="C28" s="20" t="s">
        <v>215</v>
      </c>
      <c r="D28" s="27">
        <f>'Пр.3 Рд,пр, ЦС,ВР 21'!F438</f>
        <v>35177.311000000002</v>
      </c>
      <c r="E28" s="27">
        <f>'Пр.3 Рд,пр, ЦС,ВР 21'!G438</f>
        <v>33068.978999999999</v>
      </c>
      <c r="F28" s="330">
        <f t="shared" si="1"/>
        <v>94.006557237987849</v>
      </c>
    </row>
    <row r="29" spans="1:6" ht="15.75" x14ac:dyDescent="0.25">
      <c r="A29" s="25" t="s">
        <v>569</v>
      </c>
      <c r="B29" s="20" t="s">
        <v>234</v>
      </c>
      <c r="C29" s="20" t="s">
        <v>234</v>
      </c>
      <c r="D29" s="27">
        <f>'Пр.3 Рд,пр, ЦС,ВР 21'!F500</f>
        <v>49818.904799999989</v>
      </c>
      <c r="E29" s="27">
        <f>'Пр.3 Рд,пр, ЦС,ВР 21'!G500</f>
        <v>49104.581000000006</v>
      </c>
      <c r="F29" s="330">
        <f t="shared" si="1"/>
        <v>98.566159166148537</v>
      </c>
    </row>
    <row r="30" spans="1:6" ht="15.75" x14ac:dyDescent="0.25">
      <c r="A30" s="47" t="s">
        <v>263</v>
      </c>
      <c r="B30" s="24" t="s">
        <v>264</v>
      </c>
      <c r="C30" s="24"/>
      <c r="D30" s="44">
        <f t="shared" ref="D30:E30" si="6">SUM(D31:D35)</f>
        <v>398874.81100000005</v>
      </c>
      <c r="E30" s="44">
        <f t="shared" si="6"/>
        <v>388852.90899999999</v>
      </c>
      <c r="F30" s="328">
        <f t="shared" si="1"/>
        <v>97.487456785031213</v>
      </c>
    </row>
    <row r="31" spans="1:6" ht="15.75" x14ac:dyDescent="0.25">
      <c r="A31" s="93" t="s">
        <v>404</v>
      </c>
      <c r="B31" s="20" t="s">
        <v>264</v>
      </c>
      <c r="C31" s="20" t="s">
        <v>118</v>
      </c>
      <c r="D31" s="27">
        <f>'Пр.3 Рд,пр, ЦС,ВР 21'!F548</f>
        <v>112462.06999999999</v>
      </c>
      <c r="E31" s="27">
        <f>'Пр.3 Рд,пр, ЦС,ВР 21'!G548</f>
        <v>110437.219</v>
      </c>
      <c r="F31" s="330">
        <f t="shared" si="1"/>
        <v>98.199525404431924</v>
      </c>
    </row>
    <row r="32" spans="1:6" ht="15.75" x14ac:dyDescent="0.25">
      <c r="A32" s="93" t="s">
        <v>425</v>
      </c>
      <c r="B32" s="20" t="s">
        <v>264</v>
      </c>
      <c r="C32" s="20" t="s">
        <v>213</v>
      </c>
      <c r="D32" s="27">
        <f>'Пр.3 Рд,пр, ЦС,ВР 21'!F613</f>
        <v>194871.88</v>
      </c>
      <c r="E32" s="27">
        <f>'Пр.3 Рд,пр, ЦС,ВР 21'!G613</f>
        <v>192216.45499999999</v>
      </c>
      <c r="F32" s="330">
        <f t="shared" si="1"/>
        <v>98.637348292632055</v>
      </c>
    </row>
    <row r="33" spans="1:6" ht="15.75" x14ac:dyDescent="0.25">
      <c r="A33" s="93" t="s">
        <v>265</v>
      </c>
      <c r="B33" s="20" t="s">
        <v>264</v>
      </c>
      <c r="C33" s="20" t="s">
        <v>215</v>
      </c>
      <c r="D33" s="27">
        <f>'Пр.3 Рд,пр, ЦС,ВР 21'!F704</f>
        <v>61388.770000000011</v>
      </c>
      <c r="E33" s="27">
        <f>'Пр.3 Рд,пр, ЦС,ВР 21'!G704</f>
        <v>57075.885999999999</v>
      </c>
      <c r="F33" s="330">
        <f t="shared" si="1"/>
        <v>92.974473995813881</v>
      </c>
    </row>
    <row r="34" spans="1:6" ht="15.75" x14ac:dyDescent="0.25">
      <c r="A34" s="93" t="s">
        <v>466</v>
      </c>
      <c r="B34" s="20" t="s">
        <v>264</v>
      </c>
      <c r="C34" s="20" t="s">
        <v>264</v>
      </c>
      <c r="D34" s="27">
        <f>'Пр.3 Рд,пр, ЦС,ВР 21'!F789</f>
        <v>7096.4500000000007</v>
      </c>
      <c r="E34" s="27">
        <f>'Пр.3 Рд,пр, ЦС,ВР 21'!G789</f>
        <v>6486.6579999999994</v>
      </c>
      <c r="F34" s="330">
        <f t="shared" si="1"/>
        <v>91.407083823601923</v>
      </c>
    </row>
    <row r="35" spans="1:6" ht="15.75" x14ac:dyDescent="0.25">
      <c r="A35" s="93" t="s">
        <v>295</v>
      </c>
      <c r="B35" s="20" t="s">
        <v>264</v>
      </c>
      <c r="C35" s="20" t="s">
        <v>219</v>
      </c>
      <c r="D35" s="27">
        <f>'Пр.3 Рд,пр, ЦС,ВР 21'!F817</f>
        <v>23055.641</v>
      </c>
      <c r="E35" s="27">
        <f>'Пр.3 Рд,пр, ЦС,ВР 21'!G817</f>
        <v>22636.690999999999</v>
      </c>
      <c r="F35" s="330">
        <f t="shared" si="1"/>
        <v>98.182874204191492</v>
      </c>
    </row>
    <row r="36" spans="1:6" ht="15.75" x14ac:dyDescent="0.25">
      <c r="A36" s="96" t="s">
        <v>298</v>
      </c>
      <c r="B36" s="24" t="s">
        <v>299</v>
      </c>
      <c r="C36" s="20"/>
      <c r="D36" s="44">
        <f t="shared" ref="D36:E36" si="7">D37+D38</f>
        <v>85236.564099999989</v>
      </c>
      <c r="E36" s="44">
        <f t="shared" si="7"/>
        <v>84257.577000000005</v>
      </c>
      <c r="F36" s="328">
        <f t="shared" si="1"/>
        <v>98.851447016504054</v>
      </c>
    </row>
    <row r="37" spans="1:6" ht="15.75" x14ac:dyDescent="0.25">
      <c r="A37" s="95" t="s">
        <v>300</v>
      </c>
      <c r="B37" s="20" t="s">
        <v>299</v>
      </c>
      <c r="C37" s="20" t="s">
        <v>118</v>
      </c>
      <c r="D37" s="27">
        <f>'Пр.3 Рд,пр, ЦС,ВР 21'!F856</f>
        <v>64414.369999999995</v>
      </c>
      <c r="E37" s="27">
        <f>'Пр.3 Рд,пр, ЦС,ВР 21'!G856</f>
        <v>63487.312000000005</v>
      </c>
      <c r="F37" s="330">
        <f t="shared" si="1"/>
        <v>98.560790084572758</v>
      </c>
    </row>
    <row r="38" spans="1:6" ht="15.75" x14ac:dyDescent="0.25">
      <c r="A38" s="95" t="s">
        <v>333</v>
      </c>
      <c r="B38" s="20" t="s">
        <v>299</v>
      </c>
      <c r="C38" s="20" t="s">
        <v>150</v>
      </c>
      <c r="D38" s="27">
        <f>'Пр.3 Рд,пр, ЦС,ВР 21'!F915</f>
        <v>20822.194099999997</v>
      </c>
      <c r="E38" s="27">
        <f>'Пр.3 Рд,пр, ЦС,ВР 21'!G915</f>
        <v>20770.264999999999</v>
      </c>
      <c r="F38" s="330">
        <f t="shared" si="1"/>
        <v>99.75060697373867</v>
      </c>
    </row>
    <row r="39" spans="1:6" ht="15.75" x14ac:dyDescent="0.25">
      <c r="A39" s="47" t="s">
        <v>243</v>
      </c>
      <c r="B39" s="24" t="s">
        <v>244</v>
      </c>
      <c r="C39" s="24"/>
      <c r="D39" s="44">
        <f>SUM(D40:D43)</f>
        <v>16120.630000000001</v>
      </c>
      <c r="E39" s="44">
        <f t="shared" ref="E39" si="8">SUM(E40:E43)</f>
        <v>15542.630999999999</v>
      </c>
      <c r="F39" s="328">
        <f t="shared" si="1"/>
        <v>96.414538389628675</v>
      </c>
    </row>
    <row r="40" spans="1:6" ht="15.75" x14ac:dyDescent="0.25">
      <c r="A40" s="93" t="s">
        <v>245</v>
      </c>
      <c r="B40" s="20" t="s">
        <v>244</v>
      </c>
      <c r="C40" s="20" t="s">
        <v>118</v>
      </c>
      <c r="D40" s="27">
        <f>'Пр.3 Рд,пр, ЦС,ВР 21'!F962</f>
        <v>11049.23</v>
      </c>
      <c r="E40" s="27">
        <f>'Пр.3 Рд,пр, ЦС,ВР 21'!G962</f>
        <v>11049.155000000001</v>
      </c>
      <c r="F40" s="330">
        <f t="shared" si="1"/>
        <v>99.999321219668715</v>
      </c>
    </row>
    <row r="41" spans="1:6" ht="15.75" x14ac:dyDescent="0.25">
      <c r="A41" s="25" t="s">
        <v>252</v>
      </c>
      <c r="B41" s="20" t="s">
        <v>244</v>
      </c>
      <c r="C41" s="20" t="s">
        <v>215</v>
      </c>
      <c r="D41" s="27">
        <f>'Пр.3 Рд,пр, ЦС,ВР 21'!F968</f>
        <v>1452.2</v>
      </c>
      <c r="E41" s="27">
        <f>'Пр.3 Рд,пр, ЦС,ВР 21'!G968</f>
        <v>1451.9349999999999</v>
      </c>
      <c r="F41" s="330">
        <f t="shared" si="1"/>
        <v>99.981751824817508</v>
      </c>
    </row>
    <row r="42" spans="1:6" s="191" customFormat="1" ht="15.75" hidden="1" x14ac:dyDescent="0.25">
      <c r="A42" s="25" t="s">
        <v>400</v>
      </c>
      <c r="B42" s="20" t="s">
        <v>244</v>
      </c>
      <c r="C42" s="20" t="s">
        <v>150</v>
      </c>
      <c r="D42" s="27">
        <f>'Пр.3 Рд,пр, ЦС,ВР 21'!F997</f>
        <v>0</v>
      </c>
      <c r="E42" s="27">
        <f>'Пр.3 Рд,пр, ЦС,ВР 21'!G997</f>
        <v>0</v>
      </c>
      <c r="F42" s="330" t="e">
        <f t="shared" si="1"/>
        <v>#DIV/0!</v>
      </c>
    </row>
    <row r="43" spans="1:6" ht="15.75" x14ac:dyDescent="0.25">
      <c r="A43" s="25" t="s">
        <v>258</v>
      </c>
      <c r="B43" s="20" t="s">
        <v>244</v>
      </c>
      <c r="C43" s="20" t="s">
        <v>120</v>
      </c>
      <c r="D43" s="27">
        <f>'Пр.3 Рд,пр, ЦС,ВР 21'!F1002</f>
        <v>3619.2000000000007</v>
      </c>
      <c r="E43" s="27">
        <f>'Пр.3 Рд,пр, ЦС,ВР 21'!G1002</f>
        <v>3041.5409999999997</v>
      </c>
      <c r="F43" s="330">
        <f t="shared" si="1"/>
        <v>84.039041777188302</v>
      </c>
    </row>
    <row r="44" spans="1:6" ht="15.75" x14ac:dyDescent="0.25">
      <c r="A44" s="96" t="s">
        <v>490</v>
      </c>
      <c r="B44" s="24" t="s">
        <v>491</v>
      </c>
      <c r="C44" s="20"/>
      <c r="D44" s="44">
        <f t="shared" ref="D44:E44" si="9">D45+D46</f>
        <v>70582.803799999994</v>
      </c>
      <c r="E44" s="44">
        <f t="shared" si="9"/>
        <v>70115.94</v>
      </c>
      <c r="F44" s="328">
        <f t="shared" si="1"/>
        <v>99.338558721295811</v>
      </c>
    </row>
    <row r="45" spans="1:6" ht="15.75" x14ac:dyDescent="0.25">
      <c r="A45" s="95" t="s">
        <v>492</v>
      </c>
      <c r="B45" s="20" t="s">
        <v>491</v>
      </c>
      <c r="C45" s="20" t="s">
        <v>118</v>
      </c>
      <c r="D45" s="27">
        <f>'Пр.3 Рд,пр, ЦС,ВР 21'!F1016</f>
        <v>56758.36</v>
      </c>
      <c r="E45" s="27">
        <f>'Пр.3 Рд,пр, ЦС,ВР 21'!G1016</f>
        <v>56683.628999999994</v>
      </c>
      <c r="F45" s="330">
        <f t="shared" si="1"/>
        <v>99.868334814466081</v>
      </c>
    </row>
    <row r="46" spans="1:6" ht="15.75" x14ac:dyDescent="0.25">
      <c r="A46" s="95" t="s">
        <v>500</v>
      </c>
      <c r="B46" s="20" t="s">
        <v>491</v>
      </c>
      <c r="C46" s="20" t="s">
        <v>234</v>
      </c>
      <c r="D46" s="27">
        <f>'Пр.3 Рд,пр, ЦС,ВР 21'!F1062</f>
        <v>13824.443800000001</v>
      </c>
      <c r="E46" s="27">
        <f>'Пр.3 Рд,пр, ЦС,ВР 21'!G1062</f>
        <v>13432.311000000002</v>
      </c>
      <c r="F46" s="330">
        <f t="shared" si="1"/>
        <v>97.163482266100289</v>
      </c>
    </row>
    <row r="47" spans="1:6" ht="15.75" x14ac:dyDescent="0.25">
      <c r="A47" s="19" t="s">
        <v>582</v>
      </c>
      <c r="B47" s="24" t="s">
        <v>238</v>
      </c>
      <c r="C47" s="20"/>
      <c r="D47" s="44">
        <f t="shared" ref="D47:E47" si="10">D48</f>
        <v>5633.9500000000007</v>
      </c>
      <c r="E47" s="44">
        <f t="shared" si="10"/>
        <v>5624.9350000000004</v>
      </c>
      <c r="F47" s="328">
        <f t="shared" si="1"/>
        <v>99.839987930315317</v>
      </c>
    </row>
    <row r="48" spans="1:6" ht="15.75" x14ac:dyDescent="0.25">
      <c r="A48" s="31" t="s">
        <v>583</v>
      </c>
      <c r="B48" s="20" t="s">
        <v>238</v>
      </c>
      <c r="C48" s="20" t="s">
        <v>213</v>
      </c>
      <c r="D48" s="27">
        <f>'Пр.3 Рд,пр, ЦС,ВР 21'!F1097</f>
        <v>5633.9500000000007</v>
      </c>
      <c r="E48" s="27">
        <f>'Пр.3 Рд,пр, ЦС,ВР 21'!G1097</f>
        <v>5624.9350000000004</v>
      </c>
      <c r="F48" s="330">
        <f t="shared" si="1"/>
        <v>99.839987930315317</v>
      </c>
    </row>
    <row r="49" spans="1:6" ht="15.75" x14ac:dyDescent="0.25">
      <c r="A49" s="92" t="s">
        <v>678</v>
      </c>
      <c r="B49" s="24"/>
      <c r="C49" s="24"/>
      <c r="D49" s="44">
        <f>D8+D18+D20+D25+D30+D36+D39+D44+D47+D16</f>
        <v>971180.05836999987</v>
      </c>
      <c r="E49" s="44">
        <f t="shared" ref="E49" si="11">E8+E18+E20+E25+E30+E36+E39+E44+E47+E16</f>
        <v>945847.46700000018</v>
      </c>
      <c r="F49" s="328">
        <f t="shared" si="1"/>
        <v>97.391565945812644</v>
      </c>
    </row>
    <row r="50" spans="1:6" hidden="1" x14ac:dyDescent="0.25">
      <c r="D50" s="22">
        <f>'Пр.4 ведом.21'!G1245</f>
        <v>971180.05836999998</v>
      </c>
      <c r="E50" s="22">
        <f>'Пр.4 ведом.21'!H1245</f>
        <v>945847.46700000006</v>
      </c>
      <c r="F50" s="22">
        <f>'Пр.4 ведом.21'!I1245</f>
        <v>97.391565945812616</v>
      </c>
    </row>
    <row r="51" spans="1:6" hidden="1" x14ac:dyDescent="0.25">
      <c r="D51" s="22">
        <f t="shared" ref="D51:F51" si="12">D50-D49</f>
        <v>0</v>
      </c>
      <c r="E51" s="22">
        <f t="shared" si="12"/>
        <v>0</v>
      </c>
      <c r="F51" s="22">
        <f t="shared" si="12"/>
        <v>0</v>
      </c>
    </row>
    <row r="52" spans="1:6" hidden="1" x14ac:dyDescent="0.25">
      <c r="D52" s="22">
        <f>[2]пр.1дох.21!C199</f>
        <v>936302.3528799999</v>
      </c>
      <c r="E52" s="22">
        <f>[2]пр.1дох.21!D199</f>
        <v>935600.41100000008</v>
      </c>
      <c r="F52" s="22">
        <f>[2]пр.1дох.21!E199</f>
        <v>99.925030426566735</v>
      </c>
    </row>
    <row r="53" spans="1:6" hidden="1" x14ac:dyDescent="0.25">
      <c r="D53" s="22">
        <f>D52-D49</f>
        <v>-34877.705489999964</v>
      </c>
      <c r="E53" s="22">
        <f t="shared" ref="E53:F53" si="13">E52-E49</f>
        <v>-10247.056000000099</v>
      </c>
      <c r="F53" s="22">
        <f t="shared" si="13"/>
        <v>2.5334644807540911</v>
      </c>
    </row>
    <row r="54" spans="1:6" x14ac:dyDescent="0.25">
      <c r="D54" s="22">
        <f>'Пр.4 ведом.21'!G1245</f>
        <v>971180.05836999998</v>
      </c>
      <c r="E54" s="22">
        <f>'Пр.4 ведом.21'!H1245</f>
        <v>945847.46700000006</v>
      </c>
      <c r="F54" s="22">
        <f>'Пр.4 ведом.21'!I1245</f>
        <v>97.391565945812616</v>
      </c>
    </row>
    <row r="55" spans="1:6" x14ac:dyDescent="0.25">
      <c r="D55" s="22">
        <f>D54-D49</f>
        <v>0</v>
      </c>
      <c r="E55" s="22">
        <f t="shared" ref="E55:F55" si="14">E54-E49</f>
        <v>0</v>
      </c>
      <c r="F55" s="22">
        <f t="shared" si="14"/>
        <v>0</v>
      </c>
    </row>
  </sheetData>
  <mergeCells count="5">
    <mergeCell ref="E1:G1"/>
    <mergeCell ref="A6:D6"/>
    <mergeCell ref="E3:G3"/>
    <mergeCell ref="E2:G2"/>
    <mergeCell ref="A5:F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7" zoomScaleNormal="100" zoomScaleSheetLayoutView="100" workbookViewId="0">
      <selection activeCell="D3" sqref="D3:E3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191"/>
      <c r="C1" s="11"/>
      <c r="D1" s="539" t="s">
        <v>1688</v>
      </c>
      <c r="E1" s="539"/>
    </row>
    <row r="2" spans="1:7" ht="15.75" x14ac:dyDescent="0.25">
      <c r="A2" s="11"/>
      <c r="B2" s="191"/>
      <c r="C2" s="11"/>
      <c r="D2" s="539" t="s">
        <v>1497</v>
      </c>
      <c r="E2" s="539"/>
    </row>
    <row r="3" spans="1:7" ht="18.75" x14ac:dyDescent="0.3">
      <c r="A3" s="11"/>
      <c r="B3" s="150"/>
      <c r="C3" s="11"/>
      <c r="D3" s="539" t="s">
        <v>1693</v>
      </c>
      <c r="E3" s="539"/>
    </row>
    <row r="4" spans="1:7" ht="15.75" x14ac:dyDescent="0.25">
      <c r="A4" s="552" t="s">
        <v>1133</v>
      </c>
      <c r="B4" s="552"/>
      <c r="C4" s="552"/>
      <c r="D4" s="552"/>
      <c r="E4" s="552"/>
    </row>
    <row r="5" spans="1:7" ht="15.75" x14ac:dyDescent="0.25">
      <c r="A5" s="552" t="s">
        <v>1134</v>
      </c>
      <c r="B5" s="552"/>
      <c r="C5" s="552"/>
      <c r="D5" s="552"/>
      <c r="E5" s="552"/>
    </row>
    <row r="6" spans="1:7" ht="15.75" x14ac:dyDescent="0.25">
      <c r="A6" s="552" t="s">
        <v>1312</v>
      </c>
      <c r="B6" s="552"/>
      <c r="C6" s="552"/>
      <c r="D6" s="552"/>
      <c r="E6" s="552"/>
    </row>
    <row r="7" spans="1:7" ht="15.75" x14ac:dyDescent="0.25">
      <c r="A7" s="554"/>
      <c r="B7" s="555"/>
      <c r="C7" s="555"/>
    </row>
    <row r="8" spans="1:7" x14ac:dyDescent="0.25">
      <c r="A8" s="191"/>
      <c r="B8" s="90"/>
      <c r="C8" s="90"/>
      <c r="E8" s="326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27" t="s">
        <v>1027</v>
      </c>
      <c r="E9" s="327" t="s">
        <v>1288</v>
      </c>
    </row>
    <row r="10" spans="1:7" s="191" customFormat="1" ht="15.75" x14ac:dyDescent="0.25">
      <c r="A10" s="43" t="s">
        <v>1412</v>
      </c>
      <c r="B10" s="47"/>
      <c r="C10" s="47"/>
      <c r="D10" s="329">
        <f>('Пр.1. дох.21'!C7+'Пр.1. дох.21'!C72)*2.5%</f>
        <v>8227.4860250000002</v>
      </c>
      <c r="E10" s="329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28">
        <f>SUM(D12:D17)</f>
        <v>136787.32</v>
      </c>
      <c r="E11" s="328">
        <f>SUM(E12:E17)</f>
        <v>123941.67000000001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330">
        <f>'пр.3.1.рдпрцс 22-23'!F10</f>
        <v>4867.3999999999996</v>
      </c>
      <c r="E12" s="330">
        <f>'пр.3.1.рдпрцс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330">
        <f>'пр.3.1.рдпрцс 22-23'!F29</f>
        <v>5488</v>
      </c>
      <c r="E13" s="330">
        <f>'пр.3.1.рдпрцс 22-23'!G29</f>
        <v>5488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330">
        <f>'пр.3.1.рдпрцс 22-23'!F45</f>
        <v>56977.020000000004</v>
      </c>
      <c r="E14" s="330">
        <f>'пр.3.1.рдпрцс 22-23'!G45</f>
        <v>43788.37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330">
        <f>'пр.3.1.рдпрцс 22-23'!F106</f>
        <v>16636.7</v>
      </c>
      <c r="E15" s="330">
        <f>'пр.3.1.рдпрцс 22-23'!G106</f>
        <v>16636.7</v>
      </c>
    </row>
    <row r="16" spans="1:7" s="191" customFormat="1" ht="15.75" hidden="1" x14ac:dyDescent="0.25">
      <c r="A16" s="25" t="s">
        <v>1145</v>
      </c>
      <c r="B16" s="20" t="s">
        <v>118</v>
      </c>
      <c r="C16" s="20" t="s">
        <v>264</v>
      </c>
      <c r="D16" s="330">
        <f>'пр.3.1.рдпрцс 22-23'!F128</f>
        <v>0</v>
      </c>
      <c r="E16" s="330">
        <f>'пр.3.1.рдпрцс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330">
        <f>'пр.3.1.рдпрцс 22-23'!F136</f>
        <v>52818.200000000004</v>
      </c>
      <c r="E17" s="330">
        <f>'пр.3.1.рдпрцс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28">
        <f>'пр.2 Рд,пр 21'!D16</f>
        <v>0</v>
      </c>
      <c r="E18" s="328">
        <f>'пр.2 Рд,пр 21'!E16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330">
        <f>'пр.2 Рд,пр 21'!D17</f>
        <v>0</v>
      </c>
      <c r="E19" s="330">
        <f>'пр.2 Рд,пр 21'!E17</f>
        <v>0</v>
      </c>
    </row>
    <row r="20" spans="1:7" ht="31.5" x14ac:dyDescent="0.25">
      <c r="A20" s="34" t="s">
        <v>222</v>
      </c>
      <c r="B20" s="24" t="s">
        <v>215</v>
      </c>
      <c r="C20" s="24"/>
      <c r="D20" s="328">
        <f>D21</f>
        <v>8197.1</v>
      </c>
      <c r="E20" s="328">
        <f>E21</f>
        <v>8197.1</v>
      </c>
    </row>
    <row r="21" spans="1:7" ht="31.5" x14ac:dyDescent="0.25">
      <c r="A21" s="31" t="s">
        <v>1344</v>
      </c>
      <c r="B21" s="20" t="s">
        <v>215</v>
      </c>
      <c r="C21" s="20" t="s">
        <v>244</v>
      </c>
      <c r="D21" s="330">
        <f>'пр.3.1.рдпрцс 22-23'!F231</f>
        <v>8197.1</v>
      </c>
      <c r="E21" s="330">
        <f>'пр.3.1.рдпрцс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28">
        <f>SUM(D23:D26)</f>
        <v>6333.8</v>
      </c>
      <c r="E22" s="328">
        <f>SUM(E23:E26)</f>
        <v>6165.9000000000005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330">
        <f>'пр.3.1.рдпрцс 22-23'!F250</f>
        <v>274</v>
      </c>
      <c r="E23" s="330">
        <f>'пр.3.1.рдпрцс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330">
        <f>'пр.3.1.рдпрцс 22-23'!F263</f>
        <v>3258</v>
      </c>
      <c r="E24" s="330">
        <f>'пр.3.1.рдпрцс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330">
        <f>'пр.3.1.рдпрцс 22-23'!F269</f>
        <v>2127.6</v>
      </c>
      <c r="E25" s="330">
        <f>'пр.3.1.рдпрцс 22-23'!G269</f>
        <v>1949.1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330">
        <f>'пр.3.1.рдпрцс 22-23'!F283</f>
        <v>674.2</v>
      </c>
      <c r="E26" s="330">
        <f>'пр.3.1.рдпрцс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28">
        <f>SUM(D28:D31)</f>
        <v>39509</v>
      </c>
      <c r="E27" s="328">
        <f>SUM(E28:E31)</f>
        <v>47933.850000000006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330">
        <f>'пр.3.1.рдпрцс 22-23'!F315</f>
        <v>6060.4</v>
      </c>
      <c r="E28" s="330">
        <f>'пр.3.1.рдпрцс 22-23'!G315</f>
        <v>6060.4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330">
        <f>'пр.3.1.рдпрцс 22-23'!F329</f>
        <v>4334.0999999999985</v>
      </c>
      <c r="E29" s="330">
        <f>'пр.3.1.рдпрцс 22-23'!G329</f>
        <v>12505.950000000003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330">
        <f>'пр.3.1.рдпрцс 22-23'!F393</f>
        <v>3810</v>
      </c>
      <c r="E30" s="330">
        <f>'пр.3.1.рдпрцс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330">
        <f>'пр.3.1.рдпрцс 22-23'!F443</f>
        <v>25304.5</v>
      </c>
      <c r="E31" s="330">
        <f>'пр.3.1.рдпрцс 22-23'!G443</f>
        <v>25304.5</v>
      </c>
    </row>
    <row r="32" spans="1:7" ht="15.75" x14ac:dyDescent="0.25">
      <c r="A32" s="47" t="s">
        <v>263</v>
      </c>
      <c r="B32" s="24" t="s">
        <v>264</v>
      </c>
      <c r="C32" s="24"/>
      <c r="D32" s="328">
        <f>SUM(D33:D37)</f>
        <v>366206.80999999994</v>
      </c>
      <c r="E32" s="328">
        <f>SUM(E33:E37)</f>
        <v>389340.15999999997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330">
        <f>'пр.3.1.рдпрцс 22-23'!F479</f>
        <v>102250.3</v>
      </c>
      <c r="E33" s="330">
        <f>'пр.3.1.рдпрцс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330">
        <f>'пр.3.1.рдпрцс 22-23'!F542</f>
        <v>177341.49999999997</v>
      </c>
      <c r="E34" s="330">
        <f>'пр.3.1.рдпрцс 22-23'!G542</f>
        <v>196805.15000000002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330">
        <f>'пр.3.1.рдпрцс 22-23'!F620</f>
        <v>60278.110000000008</v>
      </c>
      <c r="E35" s="330">
        <f>'пр.3.1.рдпрцс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330">
        <f>'пр.3.1.рдпрцс 22-23'!F689</f>
        <v>6505.1</v>
      </c>
      <c r="E36" s="330">
        <f>'пр.3.1.рдпрцс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330">
        <f>'пр.3.1.рдпрцс 22-23'!F714</f>
        <v>19831.8</v>
      </c>
      <c r="E37" s="330">
        <f>'пр.3.1.рдпрцс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28">
        <f>SUM(D39:D40)</f>
        <v>76411.28</v>
      </c>
      <c r="E38" s="328">
        <f>SUM(E39:E40)</f>
        <v>78971.679999999993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330">
        <f>'пр.3.1.рдпрцс 22-23'!F742</f>
        <v>57844.87999999999</v>
      </c>
      <c r="E39" s="330">
        <f>'пр.3.1.рдпрцс 22-23'!G742</f>
        <v>60376.279999999992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330">
        <f>'пр.3.1.рдпрцс 22-23'!F795</f>
        <v>18566.400000000001</v>
      </c>
      <c r="E40" s="330">
        <f>'пр.3.1.рдпрцс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28">
        <f>SUM(D42:D45)</f>
        <v>18033.41</v>
      </c>
      <c r="E41" s="328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330">
        <f>'пр.3.1.рдпрцс 22-23'!F830</f>
        <v>9815.2999999999993</v>
      </c>
      <c r="E42" s="330">
        <f>'пр.3.1.рдпрцс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330">
        <f>'пр.3.1.рдпрцс 22-23'!F836</f>
        <v>2011.6100000000001</v>
      </c>
      <c r="E43" s="330">
        <f>'пр.3.1.рдпрцс 22-23'!G836</f>
        <v>2036.1100000000001</v>
      </c>
    </row>
    <row r="44" spans="1:7" s="191" customFormat="1" ht="15.75" x14ac:dyDescent="0.25">
      <c r="A44" s="25" t="s">
        <v>400</v>
      </c>
      <c r="B44" s="20" t="s">
        <v>244</v>
      </c>
      <c r="C44" s="20" t="s">
        <v>150</v>
      </c>
      <c r="D44" s="330">
        <f>'пр.3.1.рдпрцс 22-23'!F867</f>
        <v>2469.1</v>
      </c>
      <c r="E44" s="330">
        <f>'пр.3.1.рдпрцс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330">
        <f>'пр.3.1.рдпрцс 22-23'!F872</f>
        <v>3737.4</v>
      </c>
      <c r="E45" s="330">
        <f>'пр.3.1.рдпрцс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28">
        <f>SUM(D47:D48)</f>
        <v>63981.399999999994</v>
      </c>
      <c r="E46" s="328" t="e">
        <f>SUM(E47:E48)</f>
        <v>#REF!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330">
        <f>'пр.3.1.рдпрцс 22-23'!F886</f>
        <v>50452.2</v>
      </c>
      <c r="E47" s="330" t="e">
        <f>'пр.3.1.рдпрцс 22-23'!G886</f>
        <v>#REF!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330">
        <f>'пр.3.1.рдпрцс 22-23'!F923</f>
        <v>13529.2</v>
      </c>
      <c r="E48" s="330">
        <f>'пр.3.1.рдпрцс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28">
        <f>D50</f>
        <v>5873.2</v>
      </c>
      <c r="E49" s="328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330">
        <f>'пр.3.1.рдпрцс 22-23'!F952</f>
        <v>5873.2</v>
      </c>
      <c r="E50" s="330">
        <f>'пр.3.1.рдпрцс 22-23'!G952</f>
        <v>5876.2</v>
      </c>
    </row>
    <row r="51" spans="1:7" ht="15.75" x14ac:dyDescent="0.25">
      <c r="A51" s="92" t="s">
        <v>678</v>
      </c>
      <c r="B51" s="24"/>
      <c r="C51" s="24"/>
      <c r="D51" s="328">
        <f>D11+D20+D22+D27+D32+D38+D41+D46+D49+D10</f>
        <v>729560.80602499994</v>
      </c>
      <c r="E51" s="328" t="e">
        <f>E11+E20+E22+E27+E32+E38+E41+E46+E49+E10</f>
        <v>#REF!</v>
      </c>
      <c r="G51" s="22"/>
    </row>
    <row r="52" spans="1:7" x14ac:dyDescent="0.25">
      <c r="D52" s="22">
        <f>'пр.3.1.рдпрцс 22-23'!F970</f>
        <v>729560.80602499994</v>
      </c>
      <c r="E52" s="22" t="e">
        <f>'пр.3.1.рдпрцс 22-23'!G970</f>
        <v>#REF!</v>
      </c>
    </row>
    <row r="53" spans="1:7" hidden="1" x14ac:dyDescent="0.25">
      <c r="D53" s="22">
        <f>'Пр.1. дох.21'!C153</f>
        <v>341.4</v>
      </c>
      <c r="E53" s="22">
        <f>'Пр.1. дох.21'!D153</f>
        <v>283.8</v>
      </c>
    </row>
    <row r="54" spans="1:7" hidden="1" x14ac:dyDescent="0.25"/>
    <row r="55" spans="1:7" hidden="1" x14ac:dyDescent="0.25">
      <c r="D55" s="22">
        <f>D53-D51</f>
        <v>-729219.40602499992</v>
      </c>
      <c r="E55" s="22" t="e">
        <f>E53-E51</f>
        <v>#REF!</v>
      </c>
    </row>
    <row r="56" spans="1:7" ht="15.6" hidden="1" customHeight="1" x14ac:dyDescent="0.25">
      <c r="D56" s="22">
        <f>'пр.4.1.ведом.22-23'!G1094</f>
        <v>729560.80602499994</v>
      </c>
      <c r="E56" s="22">
        <f>'пр.4.1.ведом.22-23'!H1094</f>
        <v>776239.04999999993</v>
      </c>
    </row>
    <row r="57" spans="1:7" hidden="1" x14ac:dyDescent="0.25"/>
    <row r="58" spans="1:7" hidden="1" x14ac:dyDescent="0.25">
      <c r="D58" s="22">
        <f>D56-D51</f>
        <v>0</v>
      </c>
      <c r="E58" s="22" t="e">
        <f>E56-E51</f>
        <v>#REF!</v>
      </c>
    </row>
    <row r="59" spans="1:7" x14ac:dyDescent="0.25">
      <c r="D59" s="22">
        <f>D10+D11+D20+D22+D27+D32+D38+D41+D46+D49</f>
        <v>729560.80602499994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0"/>
  <sheetViews>
    <sheetView view="pageBreakPreview" zoomScale="80" zoomScaleNormal="100" zoomScaleSheetLayoutView="80" workbookViewId="0">
      <selection activeCell="F9" sqref="F9"/>
    </sheetView>
  </sheetViews>
  <sheetFormatPr defaultRowHeight="15" x14ac:dyDescent="0.25"/>
  <cols>
    <col min="1" max="1" width="55.140625" style="192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8" width="14.28515625" style="22" customWidth="1"/>
  </cols>
  <sheetData>
    <row r="1" spans="1:8" ht="15.75" x14ac:dyDescent="0.25">
      <c r="A1" s="56"/>
      <c r="B1" s="56"/>
      <c r="C1" s="56"/>
      <c r="D1" s="192"/>
      <c r="G1" s="551" t="s">
        <v>1542</v>
      </c>
      <c r="H1" s="551"/>
    </row>
    <row r="2" spans="1:8" ht="15.75" x14ac:dyDescent="0.25">
      <c r="A2" s="56"/>
      <c r="B2" s="56"/>
      <c r="C2" s="56"/>
      <c r="D2" s="192"/>
      <c r="G2" s="551" t="s">
        <v>0</v>
      </c>
      <c r="H2" s="551"/>
    </row>
    <row r="3" spans="1:8" ht="18.75" customHeight="1" x14ac:dyDescent="0.25">
      <c r="A3" s="56"/>
      <c r="B3" s="56"/>
      <c r="C3" s="56"/>
      <c r="D3" s="192"/>
      <c r="G3" s="551" t="s">
        <v>1827</v>
      </c>
      <c r="H3" s="551"/>
    </row>
    <row r="4" spans="1:8" x14ac:dyDescent="0.25">
      <c r="A4" s="56"/>
      <c r="B4" s="56"/>
      <c r="C4" s="56"/>
      <c r="D4" s="56"/>
      <c r="E4" s="56"/>
      <c r="F4" s="115"/>
      <c r="G4" s="115"/>
      <c r="H4" s="115"/>
    </row>
    <row r="5" spans="1:8" ht="63.75" customHeight="1" x14ac:dyDescent="0.25">
      <c r="A5" s="556" t="s">
        <v>1815</v>
      </c>
      <c r="B5" s="556"/>
      <c r="C5" s="556"/>
      <c r="D5" s="556"/>
      <c r="E5" s="556"/>
      <c r="F5" s="556"/>
      <c r="G5" s="556"/>
      <c r="H5" s="556"/>
    </row>
    <row r="6" spans="1:8" x14ac:dyDescent="0.25">
      <c r="A6" s="56"/>
      <c r="B6" s="56"/>
      <c r="C6" s="56"/>
      <c r="D6" s="56"/>
      <c r="E6" s="56"/>
      <c r="F6" s="250"/>
      <c r="G6" s="250"/>
      <c r="H6" s="250"/>
    </row>
    <row r="7" spans="1:8" ht="50.45" customHeight="1" x14ac:dyDescent="0.25">
      <c r="A7" s="210" t="s">
        <v>592</v>
      </c>
      <c r="B7" s="211" t="s">
        <v>112</v>
      </c>
      <c r="C7" s="211" t="s">
        <v>113</v>
      </c>
      <c r="D7" s="211" t="s">
        <v>114</v>
      </c>
      <c r="E7" s="211" t="s">
        <v>115</v>
      </c>
      <c r="F7" s="336" t="s">
        <v>1703</v>
      </c>
      <c r="G7" s="336" t="s">
        <v>1705</v>
      </c>
      <c r="H7" s="336" t="s">
        <v>1704</v>
      </c>
    </row>
    <row r="8" spans="1:8" ht="15.75" x14ac:dyDescent="0.25">
      <c r="A8" s="400" t="s">
        <v>117</v>
      </c>
      <c r="B8" s="7" t="s">
        <v>118</v>
      </c>
      <c r="C8" s="7"/>
      <c r="D8" s="7"/>
      <c r="E8" s="7"/>
      <c r="F8" s="4">
        <f>F9+F28+F47+F111+F162+F148+F156</f>
        <v>177451.61987999998</v>
      </c>
      <c r="G8" s="388">
        <f>G9+G28+G47+G111+G162+G148+G156</f>
        <v>172737.87800000003</v>
      </c>
      <c r="H8" s="492">
        <f>G8/F8*100</f>
        <v>97.343646745412869</v>
      </c>
    </row>
    <row r="9" spans="1:8" ht="47.25" x14ac:dyDescent="0.25">
      <c r="A9" s="400" t="s">
        <v>575</v>
      </c>
      <c r="B9" s="7" t="s">
        <v>118</v>
      </c>
      <c r="C9" s="7" t="s">
        <v>213</v>
      </c>
      <c r="D9" s="7"/>
      <c r="E9" s="7"/>
      <c r="F9" s="4">
        <f>F10+F23</f>
        <v>5241.54</v>
      </c>
      <c r="G9" s="388">
        <f>G10+G23</f>
        <v>5172.8679999999995</v>
      </c>
      <c r="H9" s="492">
        <f t="shared" ref="H9:H72" si="0">G9/F9*100</f>
        <v>98.689850692735334</v>
      </c>
    </row>
    <row r="10" spans="1:8" ht="31.5" x14ac:dyDescent="0.25">
      <c r="A10" s="394" t="s">
        <v>916</v>
      </c>
      <c r="B10" s="7" t="s">
        <v>118</v>
      </c>
      <c r="C10" s="7" t="s">
        <v>213</v>
      </c>
      <c r="D10" s="7" t="s">
        <v>857</v>
      </c>
      <c r="E10" s="7"/>
      <c r="F10" s="4">
        <f>F11+F20</f>
        <v>5239.8999999999996</v>
      </c>
      <c r="G10" s="388">
        <f>G11+G20</f>
        <v>5172.8679999999995</v>
      </c>
      <c r="H10" s="492">
        <f t="shared" si="0"/>
        <v>98.720738945399717</v>
      </c>
    </row>
    <row r="11" spans="1:8" ht="15.75" x14ac:dyDescent="0.25">
      <c r="A11" s="394" t="s">
        <v>917</v>
      </c>
      <c r="B11" s="7" t="s">
        <v>118</v>
      </c>
      <c r="C11" s="7" t="s">
        <v>213</v>
      </c>
      <c r="D11" s="7" t="s">
        <v>858</v>
      </c>
      <c r="E11" s="7"/>
      <c r="F11" s="4">
        <f>F12+F17</f>
        <v>5239.8999999999996</v>
      </c>
      <c r="G11" s="388">
        <f>G12+G17</f>
        <v>5172.8679999999995</v>
      </c>
      <c r="H11" s="492">
        <f t="shared" si="0"/>
        <v>98.720738945399717</v>
      </c>
    </row>
    <row r="12" spans="1:8" ht="31.5" x14ac:dyDescent="0.25">
      <c r="A12" s="29" t="s">
        <v>576</v>
      </c>
      <c r="B12" s="40" t="s">
        <v>118</v>
      </c>
      <c r="C12" s="40" t="s">
        <v>213</v>
      </c>
      <c r="D12" s="40" t="s">
        <v>1328</v>
      </c>
      <c r="E12" s="40"/>
      <c r="F12" s="6">
        <f t="shared" ref="F12:G12" si="1">F13+F15</f>
        <v>5239.8999999999996</v>
      </c>
      <c r="G12" s="389">
        <f t="shared" si="1"/>
        <v>5172.8679999999995</v>
      </c>
      <c r="H12" s="389">
        <f t="shared" si="0"/>
        <v>98.720738945399717</v>
      </c>
    </row>
    <row r="13" spans="1:8" ht="78.75" x14ac:dyDescent="0.25">
      <c r="A13" s="29" t="s">
        <v>127</v>
      </c>
      <c r="B13" s="40" t="s">
        <v>118</v>
      </c>
      <c r="C13" s="40" t="s">
        <v>213</v>
      </c>
      <c r="D13" s="40" t="s">
        <v>1328</v>
      </c>
      <c r="E13" s="40" t="s">
        <v>128</v>
      </c>
      <c r="F13" s="331">
        <f t="shared" ref="F13:G13" si="2">F14</f>
        <v>5212.2</v>
      </c>
      <c r="G13" s="331">
        <f t="shared" si="2"/>
        <v>5145.1679999999997</v>
      </c>
      <c r="H13" s="389">
        <f t="shared" si="0"/>
        <v>98.713940370668823</v>
      </c>
    </row>
    <row r="14" spans="1:8" ht="31.5" x14ac:dyDescent="0.25">
      <c r="A14" s="29" t="s">
        <v>129</v>
      </c>
      <c r="B14" s="40" t="s">
        <v>118</v>
      </c>
      <c r="C14" s="40" t="s">
        <v>213</v>
      </c>
      <c r="D14" s="40" t="s">
        <v>1328</v>
      </c>
      <c r="E14" s="40" t="s">
        <v>130</v>
      </c>
      <c r="F14" s="331">
        <f>'Пр.4 ведом.21'!G40</f>
        <v>5212.2</v>
      </c>
      <c r="G14" s="331">
        <f>'Пр.4 ведом.21'!H40</f>
        <v>5145.1679999999997</v>
      </c>
      <c r="H14" s="389">
        <f t="shared" si="0"/>
        <v>98.713940370668823</v>
      </c>
    </row>
    <row r="15" spans="1:8" ht="31.5" x14ac:dyDescent="0.25">
      <c r="A15" s="29" t="s">
        <v>131</v>
      </c>
      <c r="B15" s="40" t="s">
        <v>118</v>
      </c>
      <c r="C15" s="40" t="s">
        <v>213</v>
      </c>
      <c r="D15" s="40" t="s">
        <v>1328</v>
      </c>
      <c r="E15" s="40" t="s">
        <v>132</v>
      </c>
      <c r="F15" s="28">
        <f t="shared" ref="F15:G15" si="3">F16</f>
        <v>27.700000000000003</v>
      </c>
      <c r="G15" s="28">
        <f t="shared" si="3"/>
        <v>27.7</v>
      </c>
      <c r="H15" s="389">
        <f t="shared" si="0"/>
        <v>99.999999999999986</v>
      </c>
    </row>
    <row r="16" spans="1:8" ht="31.5" x14ac:dyDescent="0.25">
      <c r="A16" s="29" t="s">
        <v>133</v>
      </c>
      <c r="B16" s="40" t="s">
        <v>118</v>
      </c>
      <c r="C16" s="40" t="s">
        <v>213</v>
      </c>
      <c r="D16" s="40" t="s">
        <v>1328</v>
      </c>
      <c r="E16" s="40" t="s">
        <v>134</v>
      </c>
      <c r="F16" s="28">
        <f>'Пр.4 ведом.21'!G42</f>
        <v>27.700000000000003</v>
      </c>
      <c r="G16" s="28">
        <f>'Пр.4 ведом.21'!H42</f>
        <v>27.7</v>
      </c>
      <c r="H16" s="389">
        <f t="shared" si="0"/>
        <v>99.999999999999986</v>
      </c>
    </row>
    <row r="17" spans="1:8" s="191" customFormat="1" ht="47.25" hidden="1" x14ac:dyDescent="0.25">
      <c r="A17" s="396" t="s">
        <v>838</v>
      </c>
      <c r="B17" s="40" t="s">
        <v>118</v>
      </c>
      <c r="C17" s="40" t="s">
        <v>213</v>
      </c>
      <c r="D17" s="40" t="s">
        <v>861</v>
      </c>
      <c r="E17" s="40"/>
      <c r="F17" s="28">
        <f>F18</f>
        <v>0</v>
      </c>
      <c r="G17" s="28">
        <f>G18</f>
        <v>0</v>
      </c>
      <c r="H17" s="389" t="e">
        <f t="shared" si="0"/>
        <v>#DIV/0!</v>
      </c>
    </row>
    <row r="18" spans="1:8" s="191" customFormat="1" ht="78.75" hidden="1" x14ac:dyDescent="0.25">
      <c r="A18" s="396" t="s">
        <v>127</v>
      </c>
      <c r="B18" s="40" t="s">
        <v>118</v>
      </c>
      <c r="C18" s="40" t="s">
        <v>213</v>
      </c>
      <c r="D18" s="40" t="s">
        <v>861</v>
      </c>
      <c r="E18" s="40" t="s">
        <v>128</v>
      </c>
      <c r="F18" s="28">
        <f>F19</f>
        <v>0</v>
      </c>
      <c r="G18" s="28">
        <f>G19</f>
        <v>0</v>
      </c>
      <c r="H18" s="389" t="e">
        <f t="shared" si="0"/>
        <v>#DIV/0!</v>
      </c>
    </row>
    <row r="19" spans="1:8" s="191" customFormat="1" ht="31.5" hidden="1" x14ac:dyDescent="0.25">
      <c r="A19" s="396" t="s">
        <v>129</v>
      </c>
      <c r="B19" s="40" t="s">
        <v>118</v>
      </c>
      <c r="C19" s="40" t="s">
        <v>213</v>
      </c>
      <c r="D19" s="40" t="s">
        <v>861</v>
      </c>
      <c r="E19" s="40" t="s">
        <v>130</v>
      </c>
      <c r="F19" s="28">
        <f>'Пр.4 ведом.21'!G45</f>
        <v>0</v>
      </c>
      <c r="G19" s="28">
        <f>'Пр.4 ведом.21'!H45</f>
        <v>0</v>
      </c>
      <c r="H19" s="389" t="e">
        <f t="shared" si="0"/>
        <v>#DIV/0!</v>
      </c>
    </row>
    <row r="20" spans="1:8" s="387" customFormat="1" ht="31.5" hidden="1" x14ac:dyDescent="0.25">
      <c r="A20" s="396" t="s">
        <v>1677</v>
      </c>
      <c r="B20" s="392" t="s">
        <v>118</v>
      </c>
      <c r="C20" s="392" t="s">
        <v>213</v>
      </c>
      <c r="D20" s="392" t="s">
        <v>1678</v>
      </c>
      <c r="E20" s="392"/>
      <c r="F20" s="28">
        <f>F21</f>
        <v>0</v>
      </c>
      <c r="G20" s="28">
        <f>G21</f>
        <v>0</v>
      </c>
      <c r="H20" s="389" t="e">
        <f t="shared" si="0"/>
        <v>#DIV/0!</v>
      </c>
    </row>
    <row r="21" spans="1:8" s="387" customFormat="1" ht="78.75" hidden="1" x14ac:dyDescent="0.25">
      <c r="A21" s="396" t="s">
        <v>127</v>
      </c>
      <c r="B21" s="392" t="s">
        <v>118</v>
      </c>
      <c r="C21" s="392" t="s">
        <v>213</v>
      </c>
      <c r="D21" s="392" t="s">
        <v>1678</v>
      </c>
      <c r="E21" s="392" t="s">
        <v>128</v>
      </c>
      <c r="F21" s="28">
        <f>F22</f>
        <v>0</v>
      </c>
      <c r="G21" s="28">
        <f>G22</f>
        <v>0</v>
      </c>
      <c r="H21" s="389" t="e">
        <f t="shared" si="0"/>
        <v>#DIV/0!</v>
      </c>
    </row>
    <row r="22" spans="1:8" s="387" customFormat="1" ht="31.5" hidden="1" x14ac:dyDescent="0.25">
      <c r="A22" s="396" t="s">
        <v>129</v>
      </c>
      <c r="B22" s="392" t="s">
        <v>118</v>
      </c>
      <c r="C22" s="392" t="s">
        <v>213</v>
      </c>
      <c r="D22" s="392" t="s">
        <v>1678</v>
      </c>
      <c r="E22" s="392" t="s">
        <v>130</v>
      </c>
      <c r="F22" s="28">
        <f>'Пр.4 ведом.21'!G48</f>
        <v>0</v>
      </c>
      <c r="G22" s="28">
        <f>'Пр.4 ведом.21'!H48</f>
        <v>0</v>
      </c>
      <c r="H22" s="389" t="e">
        <f t="shared" si="0"/>
        <v>#DIV/0!</v>
      </c>
    </row>
    <row r="23" spans="1:8" s="191" customFormat="1" ht="47.25" x14ac:dyDescent="0.25">
      <c r="A23" s="394" t="s">
        <v>1337</v>
      </c>
      <c r="B23" s="24" t="s">
        <v>118</v>
      </c>
      <c r="C23" s="7" t="s">
        <v>213</v>
      </c>
      <c r="D23" s="24" t="s">
        <v>162</v>
      </c>
      <c r="E23" s="7"/>
      <c r="F23" s="332">
        <f t="shared" ref="F23:G26" si="4">F24</f>
        <v>1.6400000000000006</v>
      </c>
      <c r="G23" s="332">
        <f t="shared" si="4"/>
        <v>0</v>
      </c>
      <c r="H23" s="492">
        <f t="shared" si="0"/>
        <v>0</v>
      </c>
    </row>
    <row r="24" spans="1:8" s="191" customFormat="1" ht="63" x14ac:dyDescent="0.25">
      <c r="A24" s="204" t="s">
        <v>842</v>
      </c>
      <c r="B24" s="24" t="s">
        <v>118</v>
      </c>
      <c r="C24" s="7" t="s">
        <v>213</v>
      </c>
      <c r="D24" s="7" t="s">
        <v>849</v>
      </c>
      <c r="E24" s="7"/>
      <c r="F24" s="332">
        <f t="shared" si="4"/>
        <v>1.6400000000000006</v>
      </c>
      <c r="G24" s="332">
        <f t="shared" si="4"/>
        <v>0</v>
      </c>
      <c r="H24" s="492">
        <f t="shared" si="0"/>
        <v>0</v>
      </c>
    </row>
    <row r="25" spans="1:8" s="191" customFormat="1" ht="47.25" x14ac:dyDescent="0.25">
      <c r="A25" s="31" t="s">
        <v>695</v>
      </c>
      <c r="B25" s="20" t="s">
        <v>118</v>
      </c>
      <c r="C25" s="20" t="s">
        <v>213</v>
      </c>
      <c r="D25" s="40" t="s">
        <v>992</v>
      </c>
      <c r="E25" s="20"/>
      <c r="F25" s="26">
        <f t="shared" si="4"/>
        <v>1.6400000000000006</v>
      </c>
      <c r="G25" s="397">
        <f t="shared" si="4"/>
        <v>0</v>
      </c>
      <c r="H25" s="389">
        <f t="shared" si="0"/>
        <v>0</v>
      </c>
    </row>
    <row r="26" spans="1:8" s="191" customFormat="1" ht="31.5" x14ac:dyDescent="0.25">
      <c r="A26" s="396" t="s">
        <v>131</v>
      </c>
      <c r="B26" s="20" t="s">
        <v>118</v>
      </c>
      <c r="C26" s="20" t="s">
        <v>213</v>
      </c>
      <c r="D26" s="40" t="s">
        <v>992</v>
      </c>
      <c r="E26" s="20" t="s">
        <v>132</v>
      </c>
      <c r="F26" s="26">
        <f t="shared" si="4"/>
        <v>1.6400000000000006</v>
      </c>
      <c r="G26" s="397">
        <f t="shared" si="4"/>
        <v>0</v>
      </c>
      <c r="H26" s="389">
        <f t="shared" si="0"/>
        <v>0</v>
      </c>
    </row>
    <row r="27" spans="1:8" s="191" customFormat="1" ht="31.5" x14ac:dyDescent="0.25">
      <c r="A27" s="396" t="s">
        <v>133</v>
      </c>
      <c r="B27" s="20" t="s">
        <v>118</v>
      </c>
      <c r="C27" s="20" t="s">
        <v>213</v>
      </c>
      <c r="D27" s="40" t="s">
        <v>992</v>
      </c>
      <c r="E27" s="20" t="s">
        <v>134</v>
      </c>
      <c r="F27" s="26">
        <f>'Пр.4 ведом.21'!G53</f>
        <v>1.6400000000000006</v>
      </c>
      <c r="G27" s="397">
        <f>'Пр.4 ведом.21'!H53</f>
        <v>0</v>
      </c>
      <c r="H27" s="389">
        <f t="shared" si="0"/>
        <v>0</v>
      </c>
    </row>
    <row r="28" spans="1:8" ht="63" x14ac:dyDescent="0.25">
      <c r="A28" s="400" t="s">
        <v>578</v>
      </c>
      <c r="B28" s="7" t="s">
        <v>118</v>
      </c>
      <c r="C28" s="7" t="s">
        <v>215</v>
      </c>
      <c r="D28" s="7"/>
      <c r="E28" s="7"/>
      <c r="F28" s="4">
        <f t="shared" ref="F28:G29" si="5">F29</f>
        <v>6460.1337000000003</v>
      </c>
      <c r="G28" s="388">
        <f t="shared" si="5"/>
        <v>6390.6880000000001</v>
      </c>
      <c r="H28" s="492">
        <f t="shared" si="0"/>
        <v>98.925011412689486</v>
      </c>
    </row>
    <row r="29" spans="1:8" ht="31.5" x14ac:dyDescent="0.25">
      <c r="A29" s="394" t="s">
        <v>916</v>
      </c>
      <c r="B29" s="7" t="s">
        <v>118</v>
      </c>
      <c r="C29" s="7" t="s">
        <v>215</v>
      </c>
      <c r="D29" s="7" t="s">
        <v>857</v>
      </c>
      <c r="E29" s="7"/>
      <c r="F29" s="4">
        <f t="shared" si="5"/>
        <v>6460.1337000000003</v>
      </c>
      <c r="G29" s="388">
        <f t="shared" si="5"/>
        <v>6390.6880000000001</v>
      </c>
      <c r="H29" s="492">
        <f t="shared" si="0"/>
        <v>98.925011412689486</v>
      </c>
    </row>
    <row r="30" spans="1:8" ht="31.5" x14ac:dyDescent="0.25">
      <c r="A30" s="394" t="s">
        <v>985</v>
      </c>
      <c r="B30" s="7" t="s">
        <v>118</v>
      </c>
      <c r="C30" s="7" t="s">
        <v>215</v>
      </c>
      <c r="D30" s="7" t="s">
        <v>986</v>
      </c>
      <c r="E30" s="7"/>
      <c r="F30" s="4">
        <f>F36+F41+F31+F44</f>
        <v>6460.1337000000003</v>
      </c>
      <c r="G30" s="388">
        <f>G36+G41+G31+G44</f>
        <v>6390.6880000000001</v>
      </c>
      <c r="H30" s="492">
        <f t="shared" si="0"/>
        <v>98.925011412689486</v>
      </c>
    </row>
    <row r="31" spans="1:8" s="191" customFormat="1" ht="47.25" x14ac:dyDescent="0.25">
      <c r="A31" s="265" t="s">
        <v>1362</v>
      </c>
      <c r="B31" s="20" t="s">
        <v>118</v>
      </c>
      <c r="C31" s="20" t="s">
        <v>215</v>
      </c>
      <c r="D31" s="20" t="s">
        <v>1400</v>
      </c>
      <c r="E31" s="24"/>
      <c r="F31" s="6">
        <f>F32+F34</f>
        <v>4753.8</v>
      </c>
      <c r="G31" s="389">
        <f>G32+G34</f>
        <v>4684.6480000000001</v>
      </c>
      <c r="H31" s="389">
        <f t="shared" si="0"/>
        <v>98.545332155328367</v>
      </c>
    </row>
    <row r="32" spans="1:8" s="191" customFormat="1" ht="78.75" x14ac:dyDescent="0.25">
      <c r="A32" s="396" t="s">
        <v>127</v>
      </c>
      <c r="B32" s="20" t="s">
        <v>118</v>
      </c>
      <c r="C32" s="20" t="s">
        <v>215</v>
      </c>
      <c r="D32" s="20" t="s">
        <v>1400</v>
      </c>
      <c r="E32" s="20" t="s">
        <v>128</v>
      </c>
      <c r="F32" s="6">
        <f>F33</f>
        <v>4485.8</v>
      </c>
      <c r="G32" s="389">
        <f>G33</f>
        <v>4428.4480000000003</v>
      </c>
      <c r="H32" s="389">
        <f t="shared" si="0"/>
        <v>98.721476659681656</v>
      </c>
    </row>
    <row r="33" spans="1:11" s="191" customFormat="1" ht="31.5" x14ac:dyDescent="0.25">
      <c r="A33" s="396" t="s">
        <v>129</v>
      </c>
      <c r="B33" s="20" t="s">
        <v>118</v>
      </c>
      <c r="C33" s="20" t="s">
        <v>215</v>
      </c>
      <c r="D33" s="20" t="s">
        <v>1400</v>
      </c>
      <c r="E33" s="20" t="s">
        <v>130</v>
      </c>
      <c r="F33" s="6">
        <f>'Пр.4 ведом.21'!G1220</f>
        <v>4485.8</v>
      </c>
      <c r="G33" s="389">
        <f>'Пр.4 ведом.21'!H1220</f>
        <v>4428.4480000000003</v>
      </c>
      <c r="H33" s="389">
        <f t="shared" si="0"/>
        <v>98.721476659681656</v>
      </c>
    </row>
    <row r="34" spans="1:11" s="191" customFormat="1" ht="31.5" x14ac:dyDescent="0.25">
      <c r="A34" s="396" t="s">
        <v>198</v>
      </c>
      <c r="B34" s="20" t="s">
        <v>118</v>
      </c>
      <c r="C34" s="20" t="s">
        <v>215</v>
      </c>
      <c r="D34" s="20" t="s">
        <v>1400</v>
      </c>
      <c r="E34" s="20" t="s">
        <v>132</v>
      </c>
      <c r="F34" s="6">
        <f>F35</f>
        <v>268</v>
      </c>
      <c r="G34" s="389">
        <f>G35</f>
        <v>256.2</v>
      </c>
      <c r="H34" s="389">
        <f t="shared" si="0"/>
        <v>95.597014925373131</v>
      </c>
    </row>
    <row r="35" spans="1:11" s="191" customFormat="1" ht="31.5" x14ac:dyDescent="0.25">
      <c r="A35" s="396" t="s">
        <v>133</v>
      </c>
      <c r="B35" s="20" t="s">
        <v>118</v>
      </c>
      <c r="C35" s="20" t="s">
        <v>215</v>
      </c>
      <c r="D35" s="20" t="s">
        <v>1400</v>
      </c>
      <c r="E35" s="20" t="s">
        <v>134</v>
      </c>
      <c r="F35" s="6">
        <f>'Пр.4 ведом.21'!G1222</f>
        <v>268</v>
      </c>
      <c r="G35" s="389">
        <f>'Пр.4 ведом.21'!H1222</f>
        <v>256.2</v>
      </c>
      <c r="H35" s="389">
        <f t="shared" si="0"/>
        <v>95.597014925373131</v>
      </c>
    </row>
    <row r="36" spans="1:11" ht="31.5" x14ac:dyDescent="0.25">
      <c r="A36" s="396" t="s">
        <v>989</v>
      </c>
      <c r="B36" s="40" t="s">
        <v>118</v>
      </c>
      <c r="C36" s="40" t="s">
        <v>215</v>
      </c>
      <c r="D36" s="40" t="s">
        <v>990</v>
      </c>
      <c r="E36" s="40"/>
      <c r="F36" s="6">
        <f t="shared" ref="F36:G36" si="6">F37+F39</f>
        <v>1388.2</v>
      </c>
      <c r="G36" s="389">
        <f t="shared" si="6"/>
        <v>1387.9169999999999</v>
      </c>
      <c r="H36" s="389">
        <f t="shared" si="0"/>
        <v>99.979613888488686</v>
      </c>
    </row>
    <row r="37" spans="1:11" ht="78.75" x14ac:dyDescent="0.25">
      <c r="A37" s="29" t="s">
        <v>127</v>
      </c>
      <c r="B37" s="40" t="s">
        <v>118</v>
      </c>
      <c r="C37" s="40" t="s">
        <v>215</v>
      </c>
      <c r="D37" s="40" t="s">
        <v>990</v>
      </c>
      <c r="E37" s="40" t="s">
        <v>128</v>
      </c>
      <c r="F37" s="331">
        <f t="shared" ref="F37:G37" si="7">F38</f>
        <v>1388.2</v>
      </c>
      <c r="G37" s="331">
        <f t="shared" si="7"/>
        <v>1387.9169999999999</v>
      </c>
      <c r="H37" s="389">
        <f t="shared" si="0"/>
        <v>99.979613888488686</v>
      </c>
    </row>
    <row r="38" spans="1:11" ht="31.5" x14ac:dyDescent="0.25">
      <c r="A38" s="29" t="s">
        <v>129</v>
      </c>
      <c r="B38" s="40" t="s">
        <v>118</v>
      </c>
      <c r="C38" s="40" t="s">
        <v>215</v>
      </c>
      <c r="D38" s="40" t="s">
        <v>990</v>
      </c>
      <c r="E38" s="40" t="s">
        <v>130</v>
      </c>
      <c r="F38" s="331">
        <f>'Пр.4 ведом.21'!G1225</f>
        <v>1388.2</v>
      </c>
      <c r="G38" s="331">
        <f>'Пр.4 ведом.21'!H1225</f>
        <v>1387.9169999999999</v>
      </c>
      <c r="H38" s="389">
        <f t="shared" si="0"/>
        <v>99.979613888488686</v>
      </c>
    </row>
    <row r="39" spans="1:11" ht="31.5" hidden="1" x14ac:dyDescent="0.25">
      <c r="A39" s="29" t="s">
        <v>131</v>
      </c>
      <c r="B39" s="40" t="s">
        <v>118</v>
      </c>
      <c r="C39" s="40" t="s">
        <v>215</v>
      </c>
      <c r="D39" s="40" t="s">
        <v>990</v>
      </c>
      <c r="E39" s="40" t="s">
        <v>132</v>
      </c>
      <c r="F39" s="6">
        <f t="shared" ref="F39:G39" si="8">F40</f>
        <v>0</v>
      </c>
      <c r="G39" s="389">
        <f t="shared" si="8"/>
        <v>0</v>
      </c>
      <c r="H39" s="389" t="e">
        <f t="shared" si="0"/>
        <v>#DIV/0!</v>
      </c>
    </row>
    <row r="40" spans="1:11" ht="31.5" hidden="1" x14ac:dyDescent="0.25">
      <c r="A40" s="29" t="s">
        <v>133</v>
      </c>
      <c r="B40" s="40" t="s">
        <v>118</v>
      </c>
      <c r="C40" s="40" t="s">
        <v>215</v>
      </c>
      <c r="D40" s="40" t="s">
        <v>990</v>
      </c>
      <c r="E40" s="40" t="s">
        <v>134</v>
      </c>
      <c r="F40" s="6">
        <f>'Пр.4 ведом.21'!G1227</f>
        <v>0</v>
      </c>
      <c r="G40" s="389">
        <f>'Пр.4 ведом.21'!H1227</f>
        <v>0</v>
      </c>
      <c r="H40" s="389" t="e">
        <f t="shared" si="0"/>
        <v>#DIV/0!</v>
      </c>
    </row>
    <row r="41" spans="1:11" s="191" customFormat="1" ht="30.2" customHeight="1" x14ac:dyDescent="0.25">
      <c r="A41" s="396" t="s">
        <v>838</v>
      </c>
      <c r="B41" s="40" t="s">
        <v>118</v>
      </c>
      <c r="C41" s="40" t="s">
        <v>215</v>
      </c>
      <c r="D41" s="40" t="s">
        <v>988</v>
      </c>
      <c r="E41" s="40"/>
      <c r="F41" s="28">
        <f>F42</f>
        <v>52</v>
      </c>
      <c r="G41" s="28">
        <f>G42</f>
        <v>51.99</v>
      </c>
      <c r="H41" s="389">
        <f t="shared" si="0"/>
        <v>99.980769230769241</v>
      </c>
    </row>
    <row r="42" spans="1:11" s="191" customFormat="1" ht="85.7" customHeight="1" x14ac:dyDescent="0.25">
      <c r="A42" s="396" t="s">
        <v>127</v>
      </c>
      <c r="B42" s="40" t="s">
        <v>118</v>
      </c>
      <c r="C42" s="40" t="s">
        <v>215</v>
      </c>
      <c r="D42" s="40" t="s">
        <v>988</v>
      </c>
      <c r="E42" s="40" t="s">
        <v>128</v>
      </c>
      <c r="F42" s="28">
        <f>F43</f>
        <v>52</v>
      </c>
      <c r="G42" s="28">
        <f>G43</f>
        <v>51.99</v>
      </c>
      <c r="H42" s="389">
        <f t="shared" si="0"/>
        <v>99.980769230769241</v>
      </c>
    </row>
    <row r="43" spans="1:11" s="191" customFormat="1" ht="38.25" customHeight="1" x14ac:dyDescent="0.25">
      <c r="A43" s="396" t="s">
        <v>129</v>
      </c>
      <c r="B43" s="40" t="s">
        <v>118</v>
      </c>
      <c r="C43" s="40" t="s">
        <v>215</v>
      </c>
      <c r="D43" s="40" t="s">
        <v>988</v>
      </c>
      <c r="E43" s="40" t="s">
        <v>130</v>
      </c>
      <c r="F43" s="28">
        <f>'Пр.4 ведом.21'!G1230</f>
        <v>52</v>
      </c>
      <c r="G43" s="28">
        <f>'Пр.4 ведом.21'!H1230</f>
        <v>51.99</v>
      </c>
      <c r="H43" s="389">
        <f t="shared" si="0"/>
        <v>99.980769230769241</v>
      </c>
    </row>
    <row r="44" spans="1:11" s="387" customFormat="1" ht="31.5" x14ac:dyDescent="0.25">
      <c r="A44" s="396" t="s">
        <v>1677</v>
      </c>
      <c r="B44" s="392" t="s">
        <v>118</v>
      </c>
      <c r="C44" s="392" t="s">
        <v>215</v>
      </c>
      <c r="D44" s="392" t="s">
        <v>1683</v>
      </c>
      <c r="E44" s="399"/>
      <c r="F44" s="28">
        <f>F45</f>
        <v>266.13369999999998</v>
      </c>
      <c r="G44" s="28">
        <f>G45</f>
        <v>266.13299999999998</v>
      </c>
      <c r="H44" s="389">
        <f t="shared" si="0"/>
        <v>99.999736974310281</v>
      </c>
    </row>
    <row r="45" spans="1:11" s="387" customFormat="1" ht="78.75" x14ac:dyDescent="0.25">
      <c r="A45" s="396" t="s">
        <v>127</v>
      </c>
      <c r="B45" s="392" t="s">
        <v>118</v>
      </c>
      <c r="C45" s="392" t="s">
        <v>215</v>
      </c>
      <c r="D45" s="392" t="s">
        <v>1683</v>
      </c>
      <c r="E45" s="399" t="s">
        <v>128</v>
      </c>
      <c r="F45" s="28">
        <f>F46</f>
        <v>266.13369999999998</v>
      </c>
      <c r="G45" s="28">
        <f>G46</f>
        <v>266.13299999999998</v>
      </c>
      <c r="H45" s="389">
        <f t="shared" si="0"/>
        <v>99.999736974310281</v>
      </c>
    </row>
    <row r="46" spans="1:11" s="387" customFormat="1" ht="31.5" x14ac:dyDescent="0.25">
      <c r="A46" s="396" t="s">
        <v>129</v>
      </c>
      <c r="B46" s="392" t="s">
        <v>118</v>
      </c>
      <c r="C46" s="392" t="s">
        <v>215</v>
      </c>
      <c r="D46" s="392" t="s">
        <v>1683</v>
      </c>
      <c r="E46" s="399" t="s">
        <v>130</v>
      </c>
      <c r="F46" s="28">
        <f>'Пр.4 ведом.21'!G1233</f>
        <v>266.13369999999998</v>
      </c>
      <c r="G46" s="28">
        <f>'Пр.4 ведом.21'!H1233</f>
        <v>266.13299999999998</v>
      </c>
      <c r="H46" s="389">
        <f t="shared" si="0"/>
        <v>99.999736974310281</v>
      </c>
    </row>
    <row r="47" spans="1:11" ht="70.5" customHeight="1" x14ac:dyDescent="0.25">
      <c r="A47" s="400" t="s">
        <v>149</v>
      </c>
      <c r="B47" s="7" t="s">
        <v>118</v>
      </c>
      <c r="C47" s="7" t="s">
        <v>150</v>
      </c>
      <c r="D47" s="7"/>
      <c r="E47" s="7"/>
      <c r="F47" s="4">
        <f>F48+F93</f>
        <v>69734.410049999991</v>
      </c>
      <c r="G47" s="388">
        <f>G48+G93</f>
        <v>68204.594000000012</v>
      </c>
      <c r="H47" s="492">
        <f t="shared" si="0"/>
        <v>97.806225005842748</v>
      </c>
    </row>
    <row r="48" spans="1:11" ht="31.5" x14ac:dyDescent="0.25">
      <c r="A48" s="394" t="s">
        <v>916</v>
      </c>
      <c r="B48" s="7" t="s">
        <v>118</v>
      </c>
      <c r="C48" s="7" t="s">
        <v>150</v>
      </c>
      <c r="D48" s="7" t="s">
        <v>857</v>
      </c>
      <c r="E48" s="7"/>
      <c r="F48" s="4">
        <f>F49+F68</f>
        <v>69111.510049999997</v>
      </c>
      <c r="G48" s="388">
        <f>G49+G68</f>
        <v>67582.452000000005</v>
      </c>
      <c r="H48" s="492">
        <f t="shared" si="0"/>
        <v>97.787549354812583</v>
      </c>
      <c r="J48" s="209">
        <f>F52+F61+F64+F67+F77+F82+F101+F87</f>
        <v>58976.973600000005</v>
      </c>
      <c r="K48" s="209">
        <f>G52+G61+G64+G67+G77+G82+G101+G87</f>
        <v>58337.390000000014</v>
      </c>
    </row>
    <row r="49" spans="1:8" ht="15.75" x14ac:dyDescent="0.25">
      <c r="A49" s="394" t="s">
        <v>917</v>
      </c>
      <c r="B49" s="7" t="s">
        <v>118</v>
      </c>
      <c r="C49" s="7" t="s">
        <v>150</v>
      </c>
      <c r="D49" s="7" t="s">
        <v>858</v>
      </c>
      <c r="E49" s="7"/>
      <c r="F49" s="4">
        <f>F50+F59+F62+F65</f>
        <v>65732.610050000003</v>
      </c>
      <c r="G49" s="388">
        <f>G50+G59+G62+G65</f>
        <v>64322.522000000004</v>
      </c>
      <c r="H49" s="492">
        <f t="shared" si="0"/>
        <v>97.854812019593624</v>
      </c>
    </row>
    <row r="50" spans="1:8" ht="31.5" x14ac:dyDescent="0.25">
      <c r="A50" s="29" t="s">
        <v>896</v>
      </c>
      <c r="B50" s="40" t="s">
        <v>118</v>
      </c>
      <c r="C50" s="40" t="s">
        <v>150</v>
      </c>
      <c r="D50" s="40" t="s">
        <v>859</v>
      </c>
      <c r="E50" s="40"/>
      <c r="F50" s="6">
        <f>F51+F53+F57+F55</f>
        <v>60097.176449999999</v>
      </c>
      <c r="G50" s="389">
        <f>G51+G53+G57+G55</f>
        <v>58712.68</v>
      </c>
      <c r="H50" s="389">
        <f t="shared" si="0"/>
        <v>97.69623710832424</v>
      </c>
    </row>
    <row r="51" spans="1:8" ht="78.75" x14ac:dyDescent="0.25">
      <c r="A51" s="29" t="s">
        <v>127</v>
      </c>
      <c r="B51" s="40" t="s">
        <v>118</v>
      </c>
      <c r="C51" s="40" t="s">
        <v>150</v>
      </c>
      <c r="D51" s="40" t="s">
        <v>859</v>
      </c>
      <c r="E51" s="40" t="s">
        <v>128</v>
      </c>
      <c r="F51" s="331">
        <f t="shared" ref="F51:G51" si="9">F52</f>
        <v>50038.74</v>
      </c>
      <c r="G51" s="331">
        <f t="shared" si="9"/>
        <v>49524.163</v>
      </c>
      <c r="H51" s="389">
        <f t="shared" si="0"/>
        <v>98.971642771180896</v>
      </c>
    </row>
    <row r="52" spans="1:8" ht="31.5" x14ac:dyDescent="0.25">
      <c r="A52" s="29" t="s">
        <v>129</v>
      </c>
      <c r="B52" s="40" t="s">
        <v>118</v>
      </c>
      <c r="C52" s="40" t="s">
        <v>150</v>
      </c>
      <c r="D52" s="40" t="s">
        <v>859</v>
      </c>
      <c r="E52" s="40" t="s">
        <v>130</v>
      </c>
      <c r="F52" s="331">
        <f>'Пр.4 ведом.21'!G574+'Пр.4 ведом.21'!G59</f>
        <v>50038.74</v>
      </c>
      <c r="G52" s="331">
        <f>'Пр.4 ведом.21'!H574+'Пр.4 ведом.21'!H59</f>
        <v>49524.163</v>
      </c>
      <c r="H52" s="389">
        <f t="shared" si="0"/>
        <v>98.971642771180896</v>
      </c>
    </row>
    <row r="53" spans="1:8" ht="31.5" x14ac:dyDescent="0.25">
      <c r="A53" s="29" t="s">
        <v>131</v>
      </c>
      <c r="B53" s="40" t="s">
        <v>118</v>
      </c>
      <c r="C53" s="40" t="s">
        <v>150</v>
      </c>
      <c r="D53" s="40" t="s">
        <v>859</v>
      </c>
      <c r="E53" s="40" t="s">
        <v>132</v>
      </c>
      <c r="F53" s="6">
        <f t="shared" ref="F53:G53" si="10">F54</f>
        <v>9840.63645</v>
      </c>
      <c r="G53" s="389">
        <f t="shared" si="10"/>
        <v>8978.9679999999989</v>
      </c>
      <c r="H53" s="389">
        <f t="shared" si="0"/>
        <v>91.243773160627214</v>
      </c>
    </row>
    <row r="54" spans="1:8" ht="31.5" x14ac:dyDescent="0.25">
      <c r="A54" s="29" t="s">
        <v>133</v>
      </c>
      <c r="B54" s="40" t="s">
        <v>118</v>
      </c>
      <c r="C54" s="40" t="s">
        <v>150</v>
      </c>
      <c r="D54" s="40" t="s">
        <v>859</v>
      </c>
      <c r="E54" s="40" t="s">
        <v>134</v>
      </c>
      <c r="F54" s="6">
        <f>'Пр.4 ведом.21'!G61+'Пр.4 ведом.21'!G576</f>
        <v>9840.63645</v>
      </c>
      <c r="G54" s="389">
        <f>'Пр.4 ведом.21'!H61+'Пр.4 ведом.21'!H576</f>
        <v>8978.9679999999989</v>
      </c>
      <c r="H54" s="389">
        <f t="shared" si="0"/>
        <v>91.243773160627214</v>
      </c>
    </row>
    <row r="55" spans="1:8" s="191" customFormat="1" ht="21.2" hidden="1" customHeight="1" x14ac:dyDescent="0.25">
      <c r="A55" s="396" t="s">
        <v>248</v>
      </c>
      <c r="B55" s="40" t="s">
        <v>118</v>
      </c>
      <c r="C55" s="40" t="s">
        <v>150</v>
      </c>
      <c r="D55" s="40" t="s">
        <v>859</v>
      </c>
      <c r="E55" s="40" t="s">
        <v>249</v>
      </c>
      <c r="F55" s="6">
        <f>F56</f>
        <v>0</v>
      </c>
      <c r="G55" s="389">
        <f>G56</f>
        <v>0</v>
      </c>
      <c r="H55" s="389" t="e">
        <f t="shared" si="0"/>
        <v>#DIV/0!</v>
      </c>
    </row>
    <row r="56" spans="1:8" s="191" customFormat="1" ht="31.5" hidden="1" x14ac:dyDescent="0.25">
      <c r="A56" s="396" t="s">
        <v>250</v>
      </c>
      <c r="B56" s="40" t="s">
        <v>118</v>
      </c>
      <c r="C56" s="40" t="s">
        <v>150</v>
      </c>
      <c r="D56" s="40" t="s">
        <v>859</v>
      </c>
      <c r="E56" s="40" t="s">
        <v>251</v>
      </c>
      <c r="F56" s="6">
        <f>'Пр.4 ведом.21'!G63</f>
        <v>0</v>
      </c>
      <c r="G56" s="389">
        <f>'Пр.4 ведом.21'!H63</f>
        <v>0</v>
      </c>
      <c r="H56" s="389" t="e">
        <f t="shared" si="0"/>
        <v>#DIV/0!</v>
      </c>
    </row>
    <row r="57" spans="1:8" ht="15.75" x14ac:dyDescent="0.25">
      <c r="A57" s="29" t="s">
        <v>135</v>
      </c>
      <c r="B57" s="40" t="s">
        <v>118</v>
      </c>
      <c r="C57" s="40" t="s">
        <v>150</v>
      </c>
      <c r="D57" s="40" t="s">
        <v>859</v>
      </c>
      <c r="E57" s="40" t="s">
        <v>145</v>
      </c>
      <c r="F57" s="6">
        <f t="shared" ref="F57:G57" si="11">F58</f>
        <v>217.8</v>
      </c>
      <c r="G57" s="389">
        <f t="shared" si="11"/>
        <v>209.54899999999998</v>
      </c>
      <c r="H57" s="389">
        <f t="shared" si="0"/>
        <v>96.21166207529842</v>
      </c>
    </row>
    <row r="58" spans="1:8" ht="15.75" x14ac:dyDescent="0.25">
      <c r="A58" s="29" t="s">
        <v>568</v>
      </c>
      <c r="B58" s="40" t="s">
        <v>118</v>
      </c>
      <c r="C58" s="40" t="s">
        <v>150</v>
      </c>
      <c r="D58" s="40" t="s">
        <v>859</v>
      </c>
      <c r="E58" s="40" t="s">
        <v>138</v>
      </c>
      <c r="F58" s="6">
        <f>'Пр.4 ведом.21'!G578+'Пр.4 ведом.21'!G65</f>
        <v>217.8</v>
      </c>
      <c r="G58" s="389">
        <f>'Пр.4 ведом.21'!H578+'Пр.4 ведом.21'!H65</f>
        <v>209.54899999999998</v>
      </c>
      <c r="H58" s="389">
        <f t="shared" si="0"/>
        <v>96.21166207529842</v>
      </c>
    </row>
    <row r="59" spans="1:8" ht="31.5" x14ac:dyDescent="0.25">
      <c r="A59" s="396" t="s">
        <v>153</v>
      </c>
      <c r="B59" s="20" t="s">
        <v>118</v>
      </c>
      <c r="C59" s="20" t="s">
        <v>150</v>
      </c>
      <c r="D59" s="40" t="s">
        <v>860</v>
      </c>
      <c r="E59" s="20"/>
      <c r="F59" s="331">
        <f>F60</f>
        <v>2749.6000000000004</v>
      </c>
      <c r="G59" s="331">
        <f>G60</f>
        <v>2728.58</v>
      </c>
      <c r="H59" s="389">
        <f t="shared" si="0"/>
        <v>99.235525167297041</v>
      </c>
    </row>
    <row r="60" spans="1:8" ht="78.75" x14ac:dyDescent="0.25">
      <c r="A60" s="396" t="s">
        <v>127</v>
      </c>
      <c r="B60" s="20" t="s">
        <v>118</v>
      </c>
      <c r="C60" s="20" t="s">
        <v>150</v>
      </c>
      <c r="D60" s="40" t="s">
        <v>860</v>
      </c>
      <c r="E60" s="20" t="s">
        <v>128</v>
      </c>
      <c r="F60" s="331">
        <f>F61</f>
        <v>2749.6000000000004</v>
      </c>
      <c r="G60" s="331">
        <f>G61</f>
        <v>2728.58</v>
      </c>
      <c r="H60" s="389">
        <f t="shared" si="0"/>
        <v>99.235525167297041</v>
      </c>
    </row>
    <row r="61" spans="1:8" ht="31.5" x14ac:dyDescent="0.25">
      <c r="A61" s="396" t="s">
        <v>129</v>
      </c>
      <c r="B61" s="20" t="s">
        <v>118</v>
      </c>
      <c r="C61" s="20" t="s">
        <v>150</v>
      </c>
      <c r="D61" s="40" t="s">
        <v>860</v>
      </c>
      <c r="E61" s="20" t="s">
        <v>130</v>
      </c>
      <c r="F61" s="331">
        <f>'Пр.4 ведом.21'!G68</f>
        <v>2749.6000000000004</v>
      </c>
      <c r="G61" s="331">
        <f>'Пр.4 ведом.21'!H68</f>
        <v>2728.58</v>
      </c>
      <c r="H61" s="389">
        <f t="shared" si="0"/>
        <v>99.235525167297041</v>
      </c>
    </row>
    <row r="62" spans="1:8" s="191" customFormat="1" ht="47.25" x14ac:dyDescent="0.25">
      <c r="A62" s="396" t="s">
        <v>838</v>
      </c>
      <c r="B62" s="40" t="s">
        <v>118</v>
      </c>
      <c r="C62" s="20" t="s">
        <v>150</v>
      </c>
      <c r="D62" s="40" t="s">
        <v>861</v>
      </c>
      <c r="E62" s="40"/>
      <c r="F62" s="28">
        <f>F63</f>
        <v>1541.87</v>
      </c>
      <c r="G62" s="28">
        <f>G63</f>
        <v>1537.299</v>
      </c>
      <c r="H62" s="389">
        <f t="shared" si="0"/>
        <v>99.703541803135167</v>
      </c>
    </row>
    <row r="63" spans="1:8" s="191" customFormat="1" ht="78.75" x14ac:dyDescent="0.25">
      <c r="A63" s="396" t="s">
        <v>127</v>
      </c>
      <c r="B63" s="40" t="s">
        <v>118</v>
      </c>
      <c r="C63" s="20" t="s">
        <v>150</v>
      </c>
      <c r="D63" s="40" t="s">
        <v>861</v>
      </c>
      <c r="E63" s="40" t="s">
        <v>128</v>
      </c>
      <c r="F63" s="28">
        <f>F64</f>
        <v>1541.87</v>
      </c>
      <c r="G63" s="28">
        <f>G64</f>
        <v>1537.299</v>
      </c>
      <c r="H63" s="389">
        <f t="shared" si="0"/>
        <v>99.703541803135167</v>
      </c>
    </row>
    <row r="64" spans="1:8" s="191" customFormat="1" ht="31.5" x14ac:dyDescent="0.25">
      <c r="A64" s="396" t="s">
        <v>129</v>
      </c>
      <c r="B64" s="40" t="s">
        <v>118</v>
      </c>
      <c r="C64" s="20" t="s">
        <v>150</v>
      </c>
      <c r="D64" s="40" t="s">
        <v>861</v>
      </c>
      <c r="E64" s="40" t="s">
        <v>130</v>
      </c>
      <c r="F64" s="28">
        <f>'Пр.4 ведом.21'!G581+'Пр.4 ведом.21'!G71</f>
        <v>1541.87</v>
      </c>
      <c r="G64" s="28">
        <f>'Пр.4 ведом.21'!H581+'Пр.4 ведом.21'!H71</f>
        <v>1537.299</v>
      </c>
      <c r="H64" s="389">
        <f t="shared" si="0"/>
        <v>99.703541803135167</v>
      </c>
    </row>
    <row r="65" spans="1:8" s="387" customFormat="1" ht="31.5" x14ac:dyDescent="0.25">
      <c r="A65" s="396" t="s">
        <v>1677</v>
      </c>
      <c r="B65" s="399" t="s">
        <v>118</v>
      </c>
      <c r="C65" s="392" t="s">
        <v>150</v>
      </c>
      <c r="D65" s="392" t="s">
        <v>1678</v>
      </c>
      <c r="E65" s="399"/>
      <c r="F65" s="28">
        <f>F66</f>
        <v>1343.9635999999998</v>
      </c>
      <c r="G65" s="28">
        <f>G66</f>
        <v>1343.963</v>
      </c>
      <c r="H65" s="389">
        <f t="shared" si="0"/>
        <v>99.99995535593375</v>
      </c>
    </row>
    <row r="66" spans="1:8" s="387" customFormat="1" ht="78.75" x14ac:dyDescent="0.25">
      <c r="A66" s="396" t="s">
        <v>127</v>
      </c>
      <c r="B66" s="399" t="s">
        <v>118</v>
      </c>
      <c r="C66" s="392" t="s">
        <v>150</v>
      </c>
      <c r="D66" s="392" t="s">
        <v>1678</v>
      </c>
      <c r="E66" s="399" t="s">
        <v>128</v>
      </c>
      <c r="F66" s="28">
        <f>F67</f>
        <v>1343.9635999999998</v>
      </c>
      <c r="G66" s="28">
        <f>G67</f>
        <v>1343.963</v>
      </c>
      <c r="H66" s="389">
        <f t="shared" si="0"/>
        <v>99.99995535593375</v>
      </c>
    </row>
    <row r="67" spans="1:8" s="387" customFormat="1" ht="31.5" x14ac:dyDescent="0.25">
      <c r="A67" s="396" t="s">
        <v>129</v>
      </c>
      <c r="B67" s="399" t="s">
        <v>118</v>
      </c>
      <c r="C67" s="392" t="s">
        <v>150</v>
      </c>
      <c r="D67" s="392" t="s">
        <v>1678</v>
      </c>
      <c r="E67" s="399" t="s">
        <v>130</v>
      </c>
      <c r="F67" s="28">
        <f>'Пр.4 ведом.21'!G74+'Пр.4 ведом.21'!G588</f>
        <v>1343.9635999999998</v>
      </c>
      <c r="G67" s="28">
        <f>'Пр.4 ведом.21'!H74+'Пр.4 ведом.21'!H588</f>
        <v>1343.963</v>
      </c>
      <c r="H67" s="389">
        <f t="shared" si="0"/>
        <v>99.99995535593375</v>
      </c>
    </row>
    <row r="68" spans="1:8" s="191" customFormat="1" ht="31.5" x14ac:dyDescent="0.25">
      <c r="A68" s="394" t="s">
        <v>884</v>
      </c>
      <c r="B68" s="7" t="s">
        <v>118</v>
      </c>
      <c r="C68" s="24" t="s">
        <v>150</v>
      </c>
      <c r="D68" s="7" t="s">
        <v>862</v>
      </c>
      <c r="E68" s="7"/>
      <c r="F68" s="4">
        <f>F69+F75+F80+F85+F72+F90</f>
        <v>3378.9</v>
      </c>
      <c r="G68" s="388">
        <f>G69+G75+G80+G85+G72+G90</f>
        <v>3259.9299999999994</v>
      </c>
      <c r="H68" s="492">
        <f t="shared" si="0"/>
        <v>96.479031637515149</v>
      </c>
    </row>
    <row r="69" spans="1:8" s="191" customFormat="1" ht="47.25" hidden="1" x14ac:dyDescent="0.25">
      <c r="A69" s="396" t="s">
        <v>187</v>
      </c>
      <c r="B69" s="40" t="s">
        <v>118</v>
      </c>
      <c r="C69" s="20" t="s">
        <v>150</v>
      </c>
      <c r="D69" s="40" t="s">
        <v>1073</v>
      </c>
      <c r="E69" s="7"/>
      <c r="F69" s="10">
        <f>F70</f>
        <v>0</v>
      </c>
      <c r="G69" s="10">
        <f>G70</f>
        <v>0</v>
      </c>
      <c r="H69" s="389" t="e">
        <f t="shared" si="0"/>
        <v>#DIV/0!</v>
      </c>
    </row>
    <row r="70" spans="1:8" s="191" customFormat="1" ht="31.5" hidden="1" x14ac:dyDescent="0.25">
      <c r="A70" s="396" t="s">
        <v>131</v>
      </c>
      <c r="B70" s="40" t="s">
        <v>118</v>
      </c>
      <c r="C70" s="20" t="s">
        <v>150</v>
      </c>
      <c r="D70" s="40" t="s">
        <v>1073</v>
      </c>
      <c r="E70" s="40" t="s">
        <v>132</v>
      </c>
      <c r="F70" s="10">
        <f t="shared" ref="F70:G70" si="12">F71</f>
        <v>0</v>
      </c>
      <c r="G70" s="10">
        <f t="shared" si="12"/>
        <v>0</v>
      </c>
      <c r="H70" s="389" t="e">
        <f t="shared" si="0"/>
        <v>#DIV/0!</v>
      </c>
    </row>
    <row r="71" spans="1:8" s="191" customFormat="1" ht="31.5" hidden="1" x14ac:dyDescent="0.25">
      <c r="A71" s="396" t="s">
        <v>133</v>
      </c>
      <c r="B71" s="40" t="s">
        <v>118</v>
      </c>
      <c r="C71" s="20" t="s">
        <v>150</v>
      </c>
      <c r="D71" s="40" t="s">
        <v>1073</v>
      </c>
      <c r="E71" s="40" t="s">
        <v>134</v>
      </c>
      <c r="F71" s="10">
        <f>'Пр.4 ведом.21'!G78</f>
        <v>0</v>
      </c>
      <c r="G71" s="10">
        <f>'Пр.4 ведом.21'!H78</f>
        <v>0</v>
      </c>
      <c r="H71" s="389" t="e">
        <f t="shared" si="0"/>
        <v>#DIV/0!</v>
      </c>
    </row>
    <row r="72" spans="1:8" s="191" customFormat="1" ht="47.25" x14ac:dyDescent="0.25">
      <c r="A72" s="31" t="s">
        <v>1172</v>
      </c>
      <c r="B72" s="20" t="s">
        <v>118</v>
      </c>
      <c r="C72" s="20" t="s">
        <v>150</v>
      </c>
      <c r="D72" s="20" t="s">
        <v>1171</v>
      </c>
      <c r="E72" s="20"/>
      <c r="F72" s="26">
        <f>F73</f>
        <v>105.9</v>
      </c>
      <c r="G72" s="397">
        <f>G73</f>
        <v>101.294</v>
      </c>
      <c r="H72" s="389">
        <f t="shared" si="0"/>
        <v>95.650613786591123</v>
      </c>
    </row>
    <row r="73" spans="1:8" s="191" customFormat="1" ht="31.5" x14ac:dyDescent="0.25">
      <c r="A73" s="29" t="s">
        <v>131</v>
      </c>
      <c r="B73" s="20" t="s">
        <v>118</v>
      </c>
      <c r="C73" s="20" t="s">
        <v>150</v>
      </c>
      <c r="D73" s="20" t="s">
        <v>1171</v>
      </c>
      <c r="E73" s="20" t="s">
        <v>132</v>
      </c>
      <c r="F73" s="26">
        <f>F74</f>
        <v>105.9</v>
      </c>
      <c r="G73" s="397">
        <f>G74</f>
        <v>101.294</v>
      </c>
      <c r="H73" s="389">
        <f t="shared" ref="H73:H136" si="13">G73/F73*100</f>
        <v>95.650613786591123</v>
      </c>
    </row>
    <row r="74" spans="1:8" s="191" customFormat="1" ht="31.5" x14ac:dyDescent="0.25">
      <c r="A74" s="29" t="s">
        <v>133</v>
      </c>
      <c r="B74" s="20" t="s">
        <v>118</v>
      </c>
      <c r="C74" s="20" t="s">
        <v>150</v>
      </c>
      <c r="D74" s="20" t="s">
        <v>1171</v>
      </c>
      <c r="E74" s="20" t="s">
        <v>134</v>
      </c>
      <c r="F74" s="26">
        <f>'Пр.4 ведом.21'!G81</f>
        <v>105.9</v>
      </c>
      <c r="G74" s="397">
        <f>'Пр.4 ведом.21'!H81</f>
        <v>101.294</v>
      </c>
      <c r="H74" s="389">
        <f t="shared" si="13"/>
        <v>95.650613786591123</v>
      </c>
    </row>
    <row r="75" spans="1:8" s="191" customFormat="1" ht="47.25" x14ac:dyDescent="0.25">
      <c r="A75" s="45" t="s">
        <v>189</v>
      </c>
      <c r="B75" s="40" t="s">
        <v>118</v>
      </c>
      <c r="C75" s="20" t="s">
        <v>150</v>
      </c>
      <c r="D75" s="40" t="s">
        <v>919</v>
      </c>
      <c r="E75" s="40"/>
      <c r="F75" s="6">
        <f>F76+F78</f>
        <v>499.29999999999995</v>
      </c>
      <c r="G75" s="389">
        <f>G76+G78</f>
        <v>499.3</v>
      </c>
      <c r="H75" s="389">
        <f t="shared" si="13"/>
        <v>100.00000000000003</v>
      </c>
    </row>
    <row r="76" spans="1:8" s="191" customFormat="1" ht="78.75" x14ac:dyDescent="0.25">
      <c r="A76" s="29" t="s">
        <v>127</v>
      </c>
      <c r="B76" s="40" t="s">
        <v>118</v>
      </c>
      <c r="C76" s="20" t="s">
        <v>150</v>
      </c>
      <c r="D76" s="40" t="s">
        <v>919</v>
      </c>
      <c r="E76" s="40" t="s">
        <v>128</v>
      </c>
      <c r="F76" s="6">
        <f t="shared" ref="F76:G76" si="14">F77</f>
        <v>499.29999999999995</v>
      </c>
      <c r="G76" s="389">
        <f t="shared" si="14"/>
        <v>499.3</v>
      </c>
      <c r="H76" s="389">
        <f t="shared" si="13"/>
        <v>100.00000000000003</v>
      </c>
    </row>
    <row r="77" spans="1:8" s="191" customFormat="1" ht="31.5" x14ac:dyDescent="0.25">
      <c r="A77" s="29" t="s">
        <v>129</v>
      </c>
      <c r="B77" s="40" t="s">
        <v>118</v>
      </c>
      <c r="C77" s="20" t="s">
        <v>150</v>
      </c>
      <c r="D77" s="40" t="s">
        <v>919</v>
      </c>
      <c r="E77" s="40" t="s">
        <v>130</v>
      </c>
      <c r="F77" s="6">
        <f>'Пр.4 ведом.21'!G84</f>
        <v>499.29999999999995</v>
      </c>
      <c r="G77" s="389">
        <f>'Пр.4 ведом.21'!H84</f>
        <v>499.3</v>
      </c>
      <c r="H77" s="389">
        <f t="shared" si="13"/>
        <v>100.00000000000003</v>
      </c>
    </row>
    <row r="78" spans="1:8" s="191" customFormat="1" ht="31.5" hidden="1" x14ac:dyDescent="0.25">
      <c r="A78" s="396" t="s">
        <v>131</v>
      </c>
      <c r="B78" s="40" t="s">
        <v>118</v>
      </c>
      <c r="C78" s="20" t="s">
        <v>150</v>
      </c>
      <c r="D78" s="40" t="s">
        <v>919</v>
      </c>
      <c r="E78" s="40" t="s">
        <v>132</v>
      </c>
      <c r="F78" s="6">
        <f>F79</f>
        <v>0</v>
      </c>
      <c r="G78" s="389">
        <f>G79</f>
        <v>0</v>
      </c>
      <c r="H78" s="389" t="e">
        <f t="shared" si="13"/>
        <v>#DIV/0!</v>
      </c>
    </row>
    <row r="79" spans="1:8" s="191" customFormat="1" ht="31.5" hidden="1" x14ac:dyDescent="0.25">
      <c r="A79" s="396" t="s">
        <v>133</v>
      </c>
      <c r="B79" s="40" t="s">
        <v>118</v>
      </c>
      <c r="C79" s="20" t="s">
        <v>150</v>
      </c>
      <c r="D79" s="40" t="s">
        <v>919</v>
      </c>
      <c r="E79" s="40" t="s">
        <v>134</v>
      </c>
      <c r="F79" s="6">
        <f>'Пр.4 ведом.21'!G86</f>
        <v>0</v>
      </c>
      <c r="G79" s="389">
        <f>'Пр.4 ведом.21'!H86</f>
        <v>0</v>
      </c>
      <c r="H79" s="389" t="e">
        <f t="shared" si="13"/>
        <v>#DIV/0!</v>
      </c>
    </row>
    <row r="80" spans="1:8" s="191" customFormat="1" ht="47.25" x14ac:dyDescent="0.25">
      <c r="A80" s="31" t="s">
        <v>194</v>
      </c>
      <c r="B80" s="40" t="s">
        <v>118</v>
      </c>
      <c r="C80" s="20" t="s">
        <v>150</v>
      </c>
      <c r="D80" s="40" t="s">
        <v>1028</v>
      </c>
      <c r="E80" s="40"/>
      <c r="F80" s="6">
        <f>F81+F83</f>
        <v>1439.3999999999999</v>
      </c>
      <c r="G80" s="389">
        <f>G81+G83</f>
        <v>1347.5219999999999</v>
      </c>
      <c r="H80" s="389">
        <f t="shared" si="13"/>
        <v>93.616923718215929</v>
      </c>
    </row>
    <row r="81" spans="1:8" s="191" customFormat="1" ht="78.75" x14ac:dyDescent="0.25">
      <c r="A81" s="29" t="s">
        <v>127</v>
      </c>
      <c r="B81" s="40" t="s">
        <v>118</v>
      </c>
      <c r="C81" s="20" t="s">
        <v>150</v>
      </c>
      <c r="D81" s="40" t="s">
        <v>1028</v>
      </c>
      <c r="E81" s="40" t="s">
        <v>128</v>
      </c>
      <c r="F81" s="6">
        <f t="shared" ref="F81:G81" si="15">F82</f>
        <v>1359.1</v>
      </c>
      <c r="G81" s="389">
        <f t="shared" si="15"/>
        <v>1282.222</v>
      </c>
      <c r="H81" s="389">
        <f t="shared" si="13"/>
        <v>94.343462585534553</v>
      </c>
    </row>
    <row r="82" spans="1:8" s="191" customFormat="1" ht="31.5" x14ac:dyDescent="0.25">
      <c r="A82" s="29" t="s">
        <v>129</v>
      </c>
      <c r="B82" s="40" t="s">
        <v>118</v>
      </c>
      <c r="C82" s="20" t="s">
        <v>150</v>
      </c>
      <c r="D82" s="40" t="s">
        <v>1028</v>
      </c>
      <c r="E82" s="40" t="s">
        <v>130</v>
      </c>
      <c r="F82" s="6">
        <f>'Пр.4 ведом.21'!G89</f>
        <v>1359.1</v>
      </c>
      <c r="G82" s="389">
        <f>'Пр.4 ведом.21'!H89</f>
        <v>1282.222</v>
      </c>
      <c r="H82" s="389">
        <f t="shared" si="13"/>
        <v>94.343462585534553</v>
      </c>
    </row>
    <row r="83" spans="1:8" s="191" customFormat="1" ht="31.5" x14ac:dyDescent="0.25">
      <c r="A83" s="396" t="s">
        <v>131</v>
      </c>
      <c r="B83" s="40" t="s">
        <v>118</v>
      </c>
      <c r="C83" s="20" t="s">
        <v>150</v>
      </c>
      <c r="D83" s="40" t="s">
        <v>1028</v>
      </c>
      <c r="E83" s="40" t="s">
        <v>132</v>
      </c>
      <c r="F83" s="6">
        <f>F84</f>
        <v>80.3</v>
      </c>
      <c r="G83" s="389">
        <f>G84</f>
        <v>65.3</v>
      </c>
      <c r="H83" s="389">
        <f t="shared" si="13"/>
        <v>81.320049813200498</v>
      </c>
    </row>
    <row r="84" spans="1:8" s="191" customFormat="1" ht="31.5" x14ac:dyDescent="0.25">
      <c r="A84" s="396" t="s">
        <v>133</v>
      </c>
      <c r="B84" s="40" t="s">
        <v>118</v>
      </c>
      <c r="C84" s="20" t="s">
        <v>150</v>
      </c>
      <c r="D84" s="40" t="s">
        <v>1028</v>
      </c>
      <c r="E84" s="40" t="s">
        <v>134</v>
      </c>
      <c r="F84" s="6">
        <f>'Пр.4 ведом.21'!G91</f>
        <v>80.3</v>
      </c>
      <c r="G84" s="389">
        <f>'Пр.4 ведом.21'!H91</f>
        <v>65.3</v>
      </c>
      <c r="H84" s="389">
        <f t="shared" si="13"/>
        <v>81.320049813200498</v>
      </c>
    </row>
    <row r="85" spans="1:8" ht="47.25" x14ac:dyDescent="0.25">
      <c r="A85" s="45" t="s">
        <v>196</v>
      </c>
      <c r="B85" s="40" t="s">
        <v>118</v>
      </c>
      <c r="C85" s="20" t="s">
        <v>150</v>
      </c>
      <c r="D85" s="40" t="s">
        <v>920</v>
      </c>
      <c r="E85" s="40"/>
      <c r="F85" s="6">
        <f t="shared" ref="F85:G85" si="16">F86+F88</f>
        <v>1334.3000000000002</v>
      </c>
      <c r="G85" s="389">
        <f t="shared" si="16"/>
        <v>1311.8139999999999</v>
      </c>
      <c r="H85" s="389">
        <f t="shared" si="13"/>
        <v>98.3147717904519</v>
      </c>
    </row>
    <row r="86" spans="1:8" ht="81.75" customHeight="1" x14ac:dyDescent="0.25">
      <c r="A86" s="29" t="s">
        <v>127</v>
      </c>
      <c r="B86" s="40" t="s">
        <v>118</v>
      </c>
      <c r="C86" s="20" t="s">
        <v>150</v>
      </c>
      <c r="D86" s="40" t="s">
        <v>920</v>
      </c>
      <c r="E86" s="40" t="s">
        <v>128</v>
      </c>
      <c r="F86" s="6">
        <f t="shared" ref="F86:G86" si="17">F87</f>
        <v>1293.0000000000002</v>
      </c>
      <c r="G86" s="389">
        <f t="shared" si="17"/>
        <v>1270.5139999999999</v>
      </c>
      <c r="H86" s="389">
        <f t="shared" si="13"/>
        <v>98.260943542150017</v>
      </c>
    </row>
    <row r="87" spans="1:8" ht="36" customHeight="1" x14ac:dyDescent="0.25">
      <c r="A87" s="29" t="s">
        <v>129</v>
      </c>
      <c r="B87" s="40" t="s">
        <v>118</v>
      </c>
      <c r="C87" s="20" t="s">
        <v>150</v>
      </c>
      <c r="D87" s="40" t="s">
        <v>920</v>
      </c>
      <c r="E87" s="40" t="s">
        <v>130</v>
      </c>
      <c r="F87" s="6">
        <f>'Пр.4 ведом.21'!G94</f>
        <v>1293.0000000000002</v>
      </c>
      <c r="G87" s="389">
        <f>'Пр.4 ведом.21'!H94</f>
        <v>1270.5139999999999</v>
      </c>
      <c r="H87" s="389">
        <f t="shared" si="13"/>
        <v>98.260943542150017</v>
      </c>
    </row>
    <row r="88" spans="1:8" ht="31.5" x14ac:dyDescent="0.25">
      <c r="A88" s="29" t="s">
        <v>131</v>
      </c>
      <c r="B88" s="40" t="s">
        <v>118</v>
      </c>
      <c r="C88" s="20" t="s">
        <v>150</v>
      </c>
      <c r="D88" s="40" t="s">
        <v>920</v>
      </c>
      <c r="E88" s="40" t="s">
        <v>132</v>
      </c>
      <c r="F88" s="6">
        <f t="shared" ref="F88:G88" si="18">F89</f>
        <v>41.300000000000004</v>
      </c>
      <c r="G88" s="389">
        <f t="shared" si="18"/>
        <v>41.3</v>
      </c>
      <c r="H88" s="389">
        <f t="shared" si="13"/>
        <v>99.999999999999972</v>
      </c>
    </row>
    <row r="89" spans="1:8" ht="31.5" x14ac:dyDescent="0.25">
      <c r="A89" s="29" t="s">
        <v>133</v>
      </c>
      <c r="B89" s="40" t="s">
        <v>118</v>
      </c>
      <c r="C89" s="20" t="s">
        <v>150</v>
      </c>
      <c r="D89" s="40" t="s">
        <v>920</v>
      </c>
      <c r="E89" s="40" t="s">
        <v>134</v>
      </c>
      <c r="F89" s="6">
        <f>'Пр.4 ведом.21'!G96</f>
        <v>41.300000000000004</v>
      </c>
      <c r="G89" s="389">
        <f>'Пр.4 ведом.21'!H96</f>
        <v>41.3</v>
      </c>
      <c r="H89" s="389">
        <f t="shared" si="13"/>
        <v>99.999999999999972</v>
      </c>
    </row>
    <row r="90" spans="1:8" s="191" customFormat="1" ht="94.5" hidden="1" x14ac:dyDescent="0.25">
      <c r="A90" s="31" t="s">
        <v>1167</v>
      </c>
      <c r="B90" s="20" t="s">
        <v>118</v>
      </c>
      <c r="C90" s="20" t="s">
        <v>150</v>
      </c>
      <c r="D90" s="20" t="s">
        <v>1166</v>
      </c>
      <c r="E90" s="20"/>
      <c r="F90" s="26">
        <f>F91</f>
        <v>0</v>
      </c>
      <c r="G90" s="397">
        <f>G91</f>
        <v>0</v>
      </c>
      <c r="H90" s="389" t="e">
        <f t="shared" si="13"/>
        <v>#DIV/0!</v>
      </c>
    </row>
    <row r="91" spans="1:8" s="191" customFormat="1" ht="78.75" hidden="1" x14ac:dyDescent="0.25">
      <c r="A91" s="396" t="s">
        <v>127</v>
      </c>
      <c r="B91" s="20" t="s">
        <v>118</v>
      </c>
      <c r="C91" s="20" t="s">
        <v>150</v>
      </c>
      <c r="D91" s="20" t="s">
        <v>1166</v>
      </c>
      <c r="E91" s="20" t="s">
        <v>128</v>
      </c>
      <c r="F91" s="26">
        <f>F92</f>
        <v>0</v>
      </c>
      <c r="G91" s="397">
        <f>G92</f>
        <v>0</v>
      </c>
      <c r="H91" s="389" t="e">
        <f t="shared" si="13"/>
        <v>#DIV/0!</v>
      </c>
    </row>
    <row r="92" spans="1:8" s="191" customFormat="1" ht="31.5" hidden="1" x14ac:dyDescent="0.25">
      <c r="A92" s="396" t="s">
        <v>129</v>
      </c>
      <c r="B92" s="20" t="s">
        <v>118</v>
      </c>
      <c r="C92" s="20" t="s">
        <v>150</v>
      </c>
      <c r="D92" s="20" t="s">
        <v>1166</v>
      </c>
      <c r="E92" s="20" t="s">
        <v>130</v>
      </c>
      <c r="F92" s="26">
        <f>'Пр.4 ведом.21'!G585</f>
        <v>0</v>
      </c>
      <c r="G92" s="397">
        <f>'Пр.4 ведом.21'!H585</f>
        <v>0</v>
      </c>
      <c r="H92" s="389" t="e">
        <f t="shared" si="13"/>
        <v>#DIV/0!</v>
      </c>
    </row>
    <row r="93" spans="1:8" s="191" customFormat="1" ht="47.25" x14ac:dyDescent="0.25">
      <c r="A93" s="394" t="s">
        <v>1337</v>
      </c>
      <c r="B93" s="24" t="s">
        <v>118</v>
      </c>
      <c r="C93" s="24" t="s">
        <v>150</v>
      </c>
      <c r="D93" s="24" t="s">
        <v>162</v>
      </c>
      <c r="E93" s="24"/>
      <c r="F93" s="4">
        <f>F94+F98+F107</f>
        <v>622.9</v>
      </c>
      <c r="G93" s="388">
        <f>G94+G98+G107</f>
        <v>622.14200000000005</v>
      </c>
      <c r="H93" s="492">
        <f t="shared" si="13"/>
        <v>99.878311125381288</v>
      </c>
    </row>
    <row r="94" spans="1:8" s="191" customFormat="1" ht="63" x14ac:dyDescent="0.25">
      <c r="A94" s="269" t="s">
        <v>1338</v>
      </c>
      <c r="B94" s="24" t="s">
        <v>118</v>
      </c>
      <c r="C94" s="24" t="s">
        <v>150</v>
      </c>
      <c r="D94" s="7" t="s">
        <v>848</v>
      </c>
      <c r="E94" s="24"/>
      <c r="F94" s="4">
        <f t="shared" ref="F94:G96" si="19">F95</f>
        <v>426</v>
      </c>
      <c r="G94" s="388">
        <f t="shared" si="19"/>
        <v>425.79300000000001</v>
      </c>
      <c r="H94" s="492">
        <f t="shared" si="13"/>
        <v>99.951408450704221</v>
      </c>
    </row>
    <row r="95" spans="1:8" s="191" customFormat="1" ht="47.25" x14ac:dyDescent="0.25">
      <c r="A95" s="29" t="s">
        <v>1306</v>
      </c>
      <c r="B95" s="20" t="s">
        <v>118</v>
      </c>
      <c r="C95" s="20" t="s">
        <v>150</v>
      </c>
      <c r="D95" s="40" t="s">
        <v>840</v>
      </c>
      <c r="E95" s="20"/>
      <c r="F95" s="6">
        <f t="shared" si="19"/>
        <v>426</v>
      </c>
      <c r="G95" s="389">
        <f t="shared" si="19"/>
        <v>425.79300000000001</v>
      </c>
      <c r="H95" s="389">
        <f t="shared" si="13"/>
        <v>99.951408450704221</v>
      </c>
    </row>
    <row r="96" spans="1:8" s="191" customFormat="1" ht="31.5" x14ac:dyDescent="0.25">
      <c r="A96" s="396" t="s">
        <v>131</v>
      </c>
      <c r="B96" s="20" t="s">
        <v>118</v>
      </c>
      <c r="C96" s="20" t="s">
        <v>150</v>
      </c>
      <c r="D96" s="40" t="s">
        <v>840</v>
      </c>
      <c r="E96" s="20" t="s">
        <v>132</v>
      </c>
      <c r="F96" s="6">
        <f t="shared" si="19"/>
        <v>426</v>
      </c>
      <c r="G96" s="389">
        <f t="shared" si="19"/>
        <v>425.79300000000001</v>
      </c>
      <c r="H96" s="389">
        <f t="shared" si="13"/>
        <v>99.951408450704221</v>
      </c>
    </row>
    <row r="97" spans="1:8" s="191" customFormat="1" ht="31.5" x14ac:dyDescent="0.25">
      <c r="A97" s="396" t="s">
        <v>133</v>
      </c>
      <c r="B97" s="20" t="s">
        <v>118</v>
      </c>
      <c r="C97" s="20" t="s">
        <v>150</v>
      </c>
      <c r="D97" s="40" t="s">
        <v>840</v>
      </c>
      <c r="E97" s="20" t="s">
        <v>134</v>
      </c>
      <c r="F97" s="6">
        <f>'Пр.4 ведом.21'!G101</f>
        <v>426</v>
      </c>
      <c r="G97" s="389">
        <f>'Пр.4 ведом.21'!H101</f>
        <v>425.79300000000001</v>
      </c>
      <c r="H97" s="389">
        <f t="shared" si="13"/>
        <v>99.951408450704221</v>
      </c>
    </row>
    <row r="98" spans="1:8" s="191" customFormat="1" ht="63" x14ac:dyDescent="0.25">
      <c r="A98" s="204" t="s">
        <v>842</v>
      </c>
      <c r="B98" s="24" t="s">
        <v>118</v>
      </c>
      <c r="C98" s="24" t="s">
        <v>150</v>
      </c>
      <c r="D98" s="7" t="s">
        <v>849</v>
      </c>
      <c r="E98" s="24"/>
      <c r="F98" s="4">
        <f>F99+F104</f>
        <v>196.4</v>
      </c>
      <c r="G98" s="388">
        <f>G99+G104</f>
        <v>196.34899999999999</v>
      </c>
      <c r="H98" s="492">
        <f t="shared" si="13"/>
        <v>99.974032586558039</v>
      </c>
    </row>
    <row r="99" spans="1:8" s="191" customFormat="1" ht="47.25" x14ac:dyDescent="0.25">
      <c r="A99" s="172" t="s">
        <v>165</v>
      </c>
      <c r="B99" s="20" t="s">
        <v>118</v>
      </c>
      <c r="C99" s="20" t="s">
        <v>150</v>
      </c>
      <c r="D99" s="40" t="s">
        <v>841</v>
      </c>
      <c r="E99" s="20"/>
      <c r="F99" s="6">
        <f>F100+F102</f>
        <v>196.4</v>
      </c>
      <c r="G99" s="389">
        <f>G100+G102</f>
        <v>196.34899999999999</v>
      </c>
      <c r="H99" s="389">
        <f t="shared" si="13"/>
        <v>99.974032586558039</v>
      </c>
    </row>
    <row r="100" spans="1:8" s="191" customFormat="1" ht="78.75" x14ac:dyDescent="0.25">
      <c r="A100" s="396" t="s">
        <v>127</v>
      </c>
      <c r="B100" s="20" t="s">
        <v>118</v>
      </c>
      <c r="C100" s="20" t="s">
        <v>150</v>
      </c>
      <c r="D100" s="40" t="s">
        <v>841</v>
      </c>
      <c r="E100" s="20" t="s">
        <v>128</v>
      </c>
      <c r="F100" s="6">
        <f>F101</f>
        <v>151.4</v>
      </c>
      <c r="G100" s="389">
        <f>G101</f>
        <v>151.34899999999999</v>
      </c>
      <c r="H100" s="389">
        <f t="shared" si="13"/>
        <v>99.966314398943183</v>
      </c>
    </row>
    <row r="101" spans="1:8" s="191" customFormat="1" ht="31.5" x14ac:dyDescent="0.25">
      <c r="A101" s="396" t="s">
        <v>129</v>
      </c>
      <c r="B101" s="20" t="s">
        <v>118</v>
      </c>
      <c r="C101" s="20" t="s">
        <v>150</v>
      </c>
      <c r="D101" s="40" t="s">
        <v>841</v>
      </c>
      <c r="E101" s="20" t="s">
        <v>130</v>
      </c>
      <c r="F101" s="6">
        <f>'Пр.4 ведом.21'!G105</f>
        <v>151.4</v>
      </c>
      <c r="G101" s="389">
        <f>'Пр.4 ведом.21'!H105</f>
        <v>151.34899999999999</v>
      </c>
      <c r="H101" s="389">
        <f t="shared" si="13"/>
        <v>99.966314398943183</v>
      </c>
    </row>
    <row r="102" spans="1:8" s="191" customFormat="1" ht="31.5" x14ac:dyDescent="0.25">
      <c r="A102" s="396" t="s">
        <v>131</v>
      </c>
      <c r="B102" s="20" t="s">
        <v>118</v>
      </c>
      <c r="C102" s="20" t="s">
        <v>150</v>
      </c>
      <c r="D102" s="40" t="s">
        <v>841</v>
      </c>
      <c r="E102" s="20" t="s">
        <v>132</v>
      </c>
      <c r="F102" s="6">
        <f>F103</f>
        <v>45</v>
      </c>
      <c r="G102" s="389">
        <f>G103</f>
        <v>45</v>
      </c>
      <c r="H102" s="389">
        <f t="shared" si="13"/>
        <v>100</v>
      </c>
    </row>
    <row r="103" spans="1:8" s="191" customFormat="1" ht="31.5" x14ac:dyDescent="0.25">
      <c r="A103" s="396" t="s">
        <v>133</v>
      </c>
      <c r="B103" s="20" t="s">
        <v>118</v>
      </c>
      <c r="C103" s="20" t="s">
        <v>150</v>
      </c>
      <c r="D103" s="40" t="s">
        <v>841</v>
      </c>
      <c r="E103" s="20" t="s">
        <v>134</v>
      </c>
      <c r="F103" s="6">
        <f>'Пр.4 ведом.21'!G107</f>
        <v>45</v>
      </c>
      <c r="G103" s="389">
        <f>'Пр.4 ведом.21'!H107</f>
        <v>45</v>
      </c>
      <c r="H103" s="389">
        <f t="shared" si="13"/>
        <v>100</v>
      </c>
    </row>
    <row r="104" spans="1:8" s="191" customFormat="1" ht="47.25" hidden="1" x14ac:dyDescent="0.25">
      <c r="A104" s="31" t="s">
        <v>1095</v>
      </c>
      <c r="B104" s="20" t="s">
        <v>118</v>
      </c>
      <c r="C104" s="20" t="s">
        <v>150</v>
      </c>
      <c r="D104" s="40" t="s">
        <v>992</v>
      </c>
      <c r="E104" s="20"/>
      <c r="F104" s="26">
        <f>F105</f>
        <v>0</v>
      </c>
      <c r="G104" s="397">
        <f>G105</f>
        <v>0</v>
      </c>
      <c r="H104" s="389" t="e">
        <f t="shared" si="13"/>
        <v>#DIV/0!</v>
      </c>
    </row>
    <row r="105" spans="1:8" s="191" customFormat="1" ht="31.5" hidden="1" x14ac:dyDescent="0.25">
      <c r="A105" s="396" t="s">
        <v>131</v>
      </c>
      <c r="B105" s="20" t="s">
        <v>118</v>
      </c>
      <c r="C105" s="20" t="s">
        <v>150</v>
      </c>
      <c r="D105" s="40" t="s">
        <v>992</v>
      </c>
      <c r="E105" s="20" t="s">
        <v>132</v>
      </c>
      <c r="F105" s="26">
        <f>F106</f>
        <v>0</v>
      </c>
      <c r="G105" s="397">
        <f>G106</f>
        <v>0</v>
      </c>
      <c r="H105" s="389" t="e">
        <f t="shared" si="13"/>
        <v>#DIV/0!</v>
      </c>
    </row>
    <row r="106" spans="1:8" s="191" customFormat="1" ht="31.5" hidden="1" x14ac:dyDescent="0.25">
      <c r="A106" s="396" t="s">
        <v>133</v>
      </c>
      <c r="B106" s="20" t="s">
        <v>118</v>
      </c>
      <c r="C106" s="20" t="s">
        <v>150</v>
      </c>
      <c r="D106" s="40" t="s">
        <v>992</v>
      </c>
      <c r="E106" s="20" t="s">
        <v>134</v>
      </c>
      <c r="F106" s="26"/>
      <c r="G106" s="397"/>
      <c r="H106" s="389" t="e">
        <f t="shared" si="13"/>
        <v>#DIV/0!</v>
      </c>
    </row>
    <row r="107" spans="1:8" s="191" customFormat="1" ht="63" x14ac:dyDescent="0.25">
      <c r="A107" s="205" t="s">
        <v>1002</v>
      </c>
      <c r="B107" s="24" t="s">
        <v>118</v>
      </c>
      <c r="C107" s="24" t="s">
        <v>150</v>
      </c>
      <c r="D107" s="7" t="s">
        <v>850</v>
      </c>
      <c r="E107" s="24"/>
      <c r="F107" s="4">
        <f t="shared" ref="F107:G109" si="20">F108</f>
        <v>0.5</v>
      </c>
      <c r="G107" s="388">
        <f t="shared" si="20"/>
        <v>0</v>
      </c>
      <c r="H107" s="492">
        <f t="shared" si="13"/>
        <v>0</v>
      </c>
    </row>
    <row r="108" spans="1:8" s="191" customFormat="1" ht="47.25" x14ac:dyDescent="0.25">
      <c r="A108" s="33" t="s">
        <v>191</v>
      </c>
      <c r="B108" s="20" t="s">
        <v>118</v>
      </c>
      <c r="C108" s="20" t="s">
        <v>150</v>
      </c>
      <c r="D108" s="40" t="s">
        <v>843</v>
      </c>
      <c r="E108" s="20"/>
      <c r="F108" s="6">
        <f t="shared" si="20"/>
        <v>0.5</v>
      </c>
      <c r="G108" s="389">
        <f t="shared" si="20"/>
        <v>0</v>
      </c>
      <c r="H108" s="389">
        <f t="shared" si="13"/>
        <v>0</v>
      </c>
    </row>
    <row r="109" spans="1:8" s="191" customFormat="1" ht="31.5" x14ac:dyDescent="0.25">
      <c r="A109" s="396" t="s">
        <v>131</v>
      </c>
      <c r="B109" s="20" t="s">
        <v>118</v>
      </c>
      <c r="C109" s="20" t="s">
        <v>150</v>
      </c>
      <c r="D109" s="40" t="s">
        <v>843</v>
      </c>
      <c r="E109" s="20" t="s">
        <v>132</v>
      </c>
      <c r="F109" s="6">
        <f t="shared" si="20"/>
        <v>0.5</v>
      </c>
      <c r="G109" s="389">
        <f t="shared" si="20"/>
        <v>0</v>
      </c>
      <c r="H109" s="389">
        <f t="shared" si="13"/>
        <v>0</v>
      </c>
    </row>
    <row r="110" spans="1:8" s="191" customFormat="1" ht="31.5" x14ac:dyDescent="0.25">
      <c r="A110" s="396" t="s">
        <v>133</v>
      </c>
      <c r="B110" s="20" t="s">
        <v>118</v>
      </c>
      <c r="C110" s="20" t="s">
        <v>150</v>
      </c>
      <c r="D110" s="40" t="s">
        <v>843</v>
      </c>
      <c r="E110" s="20" t="s">
        <v>134</v>
      </c>
      <c r="F110" s="6">
        <f>'Пр.4 ведом.21'!G114</f>
        <v>0.5</v>
      </c>
      <c r="G110" s="389">
        <f>'Пр.4 ведом.21'!H114</f>
        <v>0</v>
      </c>
      <c r="H110" s="389">
        <f t="shared" si="13"/>
        <v>0</v>
      </c>
    </row>
    <row r="111" spans="1:8" ht="47.25" x14ac:dyDescent="0.25">
      <c r="A111" s="400" t="s">
        <v>119</v>
      </c>
      <c r="B111" s="7" t="s">
        <v>118</v>
      </c>
      <c r="C111" s="7" t="s">
        <v>120</v>
      </c>
      <c r="D111" s="7"/>
      <c r="E111" s="7"/>
      <c r="F111" s="4">
        <f t="shared" ref="F111:G111" si="21">F112</f>
        <v>17998.234900000003</v>
      </c>
      <c r="G111" s="388">
        <f t="shared" si="21"/>
        <v>17649.433000000001</v>
      </c>
      <c r="H111" s="492">
        <f t="shared" si="13"/>
        <v>98.062021626354024</v>
      </c>
    </row>
    <row r="112" spans="1:8" ht="31.5" x14ac:dyDescent="0.25">
      <c r="A112" s="394" t="s">
        <v>916</v>
      </c>
      <c r="B112" s="7" t="s">
        <v>118</v>
      </c>
      <c r="C112" s="7" t="s">
        <v>120</v>
      </c>
      <c r="D112" s="7" t="s">
        <v>857</v>
      </c>
      <c r="E112" s="7"/>
      <c r="F112" s="4">
        <f>F122+F113+F136</f>
        <v>17998.234900000003</v>
      </c>
      <c r="G112" s="388">
        <f>G122+G113+G136</f>
        <v>17649.433000000001</v>
      </c>
      <c r="H112" s="492">
        <f t="shared" si="13"/>
        <v>98.062021626354024</v>
      </c>
    </row>
    <row r="113" spans="1:8" s="191" customFormat="1" ht="31.5" x14ac:dyDescent="0.25">
      <c r="A113" s="394" t="s">
        <v>985</v>
      </c>
      <c r="B113" s="7" t="s">
        <v>118</v>
      </c>
      <c r="C113" s="7" t="s">
        <v>120</v>
      </c>
      <c r="D113" s="7" t="s">
        <v>986</v>
      </c>
      <c r="E113" s="7"/>
      <c r="F113" s="4">
        <f>F114+F119</f>
        <v>1442.1000000000004</v>
      </c>
      <c r="G113" s="388">
        <f>G114+G119</f>
        <v>1442.0429999999999</v>
      </c>
      <c r="H113" s="492">
        <f t="shared" si="13"/>
        <v>99.996047430830004</v>
      </c>
    </row>
    <row r="114" spans="1:8" s="191" customFormat="1" ht="31.5" x14ac:dyDescent="0.25">
      <c r="A114" s="396" t="s">
        <v>896</v>
      </c>
      <c r="B114" s="20" t="s">
        <v>118</v>
      </c>
      <c r="C114" s="20" t="s">
        <v>120</v>
      </c>
      <c r="D114" s="20" t="s">
        <v>990</v>
      </c>
      <c r="E114" s="20"/>
      <c r="F114" s="6">
        <f>F115+F117</f>
        <v>1347.6000000000004</v>
      </c>
      <c r="G114" s="389">
        <f>G115+G117</f>
        <v>1347.5429999999999</v>
      </c>
      <c r="H114" s="389">
        <f t="shared" si="13"/>
        <v>99.995770258236831</v>
      </c>
    </row>
    <row r="115" spans="1:8" s="191" customFormat="1" ht="78.75" x14ac:dyDescent="0.25">
      <c r="A115" s="396" t="s">
        <v>127</v>
      </c>
      <c r="B115" s="20" t="s">
        <v>118</v>
      </c>
      <c r="C115" s="20" t="s">
        <v>120</v>
      </c>
      <c r="D115" s="20" t="s">
        <v>990</v>
      </c>
      <c r="E115" s="20" t="s">
        <v>128</v>
      </c>
      <c r="F115" s="6">
        <f>F116</f>
        <v>1347.6000000000004</v>
      </c>
      <c r="G115" s="389">
        <f>G116</f>
        <v>1347.5429999999999</v>
      </c>
      <c r="H115" s="389">
        <f t="shared" si="13"/>
        <v>99.995770258236831</v>
      </c>
    </row>
    <row r="116" spans="1:8" s="191" customFormat="1" ht="31.5" x14ac:dyDescent="0.25">
      <c r="A116" s="396" t="s">
        <v>129</v>
      </c>
      <c r="B116" s="20" t="s">
        <v>118</v>
      </c>
      <c r="C116" s="20" t="s">
        <v>120</v>
      </c>
      <c r="D116" s="20" t="s">
        <v>990</v>
      </c>
      <c r="E116" s="20" t="s">
        <v>130</v>
      </c>
      <c r="F116" s="6">
        <f>'Пр.4 ведом.21'!G1239</f>
        <v>1347.6000000000004</v>
      </c>
      <c r="G116" s="389">
        <f>'Пр.4 ведом.21'!H1239</f>
        <v>1347.5429999999999</v>
      </c>
      <c r="H116" s="389">
        <f t="shared" si="13"/>
        <v>99.995770258236831</v>
      </c>
    </row>
    <row r="117" spans="1:8" s="191" customFormat="1" ht="31.5" hidden="1" x14ac:dyDescent="0.25">
      <c r="A117" s="396" t="s">
        <v>198</v>
      </c>
      <c r="B117" s="20" t="s">
        <v>118</v>
      </c>
      <c r="C117" s="20" t="s">
        <v>120</v>
      </c>
      <c r="D117" s="20" t="s">
        <v>990</v>
      </c>
      <c r="E117" s="20" t="s">
        <v>132</v>
      </c>
      <c r="F117" s="6">
        <f>F118</f>
        <v>0</v>
      </c>
      <c r="G117" s="389">
        <f>G118</f>
        <v>0</v>
      </c>
      <c r="H117" s="389" t="e">
        <f t="shared" si="13"/>
        <v>#DIV/0!</v>
      </c>
    </row>
    <row r="118" spans="1:8" s="191" customFormat="1" ht="31.5" hidden="1" x14ac:dyDescent="0.25">
      <c r="A118" s="396" t="s">
        <v>133</v>
      </c>
      <c r="B118" s="20" t="s">
        <v>118</v>
      </c>
      <c r="C118" s="20" t="s">
        <v>120</v>
      </c>
      <c r="D118" s="20" t="s">
        <v>990</v>
      </c>
      <c r="E118" s="20" t="s">
        <v>134</v>
      </c>
      <c r="F118" s="6">
        <f>'Пр.4 ведом.21'!G1241</f>
        <v>0</v>
      </c>
      <c r="G118" s="389">
        <f>'Пр.4 ведом.21'!H1241</f>
        <v>0</v>
      </c>
      <c r="H118" s="389" t="e">
        <f t="shared" si="13"/>
        <v>#DIV/0!</v>
      </c>
    </row>
    <row r="119" spans="1:8" s="191" customFormat="1" ht="47.25" x14ac:dyDescent="0.25">
      <c r="A119" s="396" t="s">
        <v>838</v>
      </c>
      <c r="B119" s="20" t="s">
        <v>118</v>
      </c>
      <c r="C119" s="20" t="s">
        <v>120</v>
      </c>
      <c r="D119" s="20" t="s">
        <v>988</v>
      </c>
      <c r="E119" s="20"/>
      <c r="F119" s="6">
        <f>F120</f>
        <v>94.5</v>
      </c>
      <c r="G119" s="389">
        <f>G120</f>
        <v>94.5</v>
      </c>
      <c r="H119" s="389">
        <f t="shared" si="13"/>
        <v>100</v>
      </c>
    </row>
    <row r="120" spans="1:8" s="191" customFormat="1" ht="78.75" x14ac:dyDescent="0.25">
      <c r="A120" s="396" t="s">
        <v>127</v>
      </c>
      <c r="B120" s="20" t="s">
        <v>118</v>
      </c>
      <c r="C120" s="20" t="s">
        <v>120</v>
      </c>
      <c r="D120" s="20" t="s">
        <v>988</v>
      </c>
      <c r="E120" s="20" t="s">
        <v>128</v>
      </c>
      <c r="F120" s="6">
        <f>F121</f>
        <v>94.5</v>
      </c>
      <c r="G120" s="389">
        <f>G121</f>
        <v>94.5</v>
      </c>
      <c r="H120" s="389">
        <f t="shared" si="13"/>
        <v>100</v>
      </c>
    </row>
    <row r="121" spans="1:8" s="191" customFormat="1" ht="31.5" x14ac:dyDescent="0.25">
      <c r="A121" s="396" t="s">
        <v>129</v>
      </c>
      <c r="B121" s="20" t="s">
        <v>118</v>
      </c>
      <c r="C121" s="20" t="s">
        <v>120</v>
      </c>
      <c r="D121" s="20" t="s">
        <v>988</v>
      </c>
      <c r="E121" s="20" t="s">
        <v>130</v>
      </c>
      <c r="F121" s="6">
        <f>'Пр.4 ведом.21'!G1244</f>
        <v>94.5</v>
      </c>
      <c r="G121" s="389">
        <f>'Пр.4 ведом.21'!H1244</f>
        <v>94.5</v>
      </c>
      <c r="H121" s="389">
        <f t="shared" si="13"/>
        <v>100</v>
      </c>
    </row>
    <row r="122" spans="1:8" ht="15.75" x14ac:dyDescent="0.25">
      <c r="A122" s="394" t="s">
        <v>917</v>
      </c>
      <c r="B122" s="7" t="s">
        <v>118</v>
      </c>
      <c r="C122" s="7" t="s">
        <v>120</v>
      </c>
      <c r="D122" s="7" t="s">
        <v>858</v>
      </c>
      <c r="E122" s="7"/>
      <c r="F122" s="4">
        <f>F123+F130+F133</f>
        <v>15730.0949</v>
      </c>
      <c r="G122" s="388">
        <f>G123+G130+G133</f>
        <v>15513.946</v>
      </c>
      <c r="H122" s="492">
        <f t="shared" si="13"/>
        <v>98.625889408969798</v>
      </c>
    </row>
    <row r="123" spans="1:8" ht="37.5" customHeight="1" x14ac:dyDescent="0.25">
      <c r="A123" s="29" t="s">
        <v>896</v>
      </c>
      <c r="B123" s="40" t="s">
        <v>118</v>
      </c>
      <c r="C123" s="40" t="s">
        <v>120</v>
      </c>
      <c r="D123" s="40" t="s">
        <v>859</v>
      </c>
      <c r="E123" s="40"/>
      <c r="F123" s="6">
        <f t="shared" ref="F123:G123" si="22">F124+F126+F128</f>
        <v>15126.627999999999</v>
      </c>
      <c r="G123" s="389">
        <f t="shared" si="22"/>
        <v>14920.411</v>
      </c>
      <c r="H123" s="389">
        <f t="shared" si="13"/>
        <v>98.63672855576273</v>
      </c>
    </row>
    <row r="124" spans="1:8" ht="78.75" x14ac:dyDescent="0.25">
      <c r="A124" s="29" t="s">
        <v>127</v>
      </c>
      <c r="B124" s="40" t="s">
        <v>118</v>
      </c>
      <c r="C124" s="40" t="s">
        <v>120</v>
      </c>
      <c r="D124" s="40" t="s">
        <v>859</v>
      </c>
      <c r="E124" s="40" t="s">
        <v>128</v>
      </c>
      <c r="F124" s="6">
        <f t="shared" ref="F124:G124" si="23">F125</f>
        <v>14007.527999999998</v>
      </c>
      <c r="G124" s="389">
        <f t="shared" si="23"/>
        <v>13922.782999999999</v>
      </c>
      <c r="H124" s="389">
        <f t="shared" si="13"/>
        <v>99.395003886481618</v>
      </c>
    </row>
    <row r="125" spans="1:8" ht="31.5" x14ac:dyDescent="0.25">
      <c r="A125" s="29" t="s">
        <v>129</v>
      </c>
      <c r="B125" s="40" t="s">
        <v>118</v>
      </c>
      <c r="C125" s="40" t="s">
        <v>120</v>
      </c>
      <c r="D125" s="40" t="s">
        <v>859</v>
      </c>
      <c r="E125" s="40" t="s">
        <v>130</v>
      </c>
      <c r="F125" s="331">
        <f>'Пр.4 ведом.21'!G16+'Пр.4 ведом.21'!G123</f>
        <v>14007.527999999998</v>
      </c>
      <c r="G125" s="331">
        <f>'Пр.4 ведом.21'!H16+'Пр.4 ведом.21'!H123</f>
        <v>13922.782999999999</v>
      </c>
      <c r="H125" s="389">
        <f t="shared" si="13"/>
        <v>99.395003886481618</v>
      </c>
    </row>
    <row r="126" spans="1:8" ht="31.5" x14ac:dyDescent="0.25">
      <c r="A126" s="29" t="s">
        <v>131</v>
      </c>
      <c r="B126" s="40" t="s">
        <v>118</v>
      </c>
      <c r="C126" s="40" t="s">
        <v>120</v>
      </c>
      <c r="D126" s="40" t="s">
        <v>859</v>
      </c>
      <c r="E126" s="40" t="s">
        <v>132</v>
      </c>
      <c r="F126" s="6">
        <f t="shared" ref="F126:G126" si="24">F127</f>
        <v>1112.6799999999998</v>
      </c>
      <c r="G126" s="389">
        <f t="shared" si="24"/>
        <v>996.21299999999997</v>
      </c>
      <c r="H126" s="389">
        <f t="shared" si="13"/>
        <v>89.532749757342643</v>
      </c>
    </row>
    <row r="127" spans="1:8" ht="31.5" x14ac:dyDescent="0.25">
      <c r="A127" s="29" t="s">
        <v>133</v>
      </c>
      <c r="B127" s="40" t="s">
        <v>118</v>
      </c>
      <c r="C127" s="40" t="s">
        <v>120</v>
      </c>
      <c r="D127" s="40" t="s">
        <v>859</v>
      </c>
      <c r="E127" s="40" t="s">
        <v>134</v>
      </c>
      <c r="F127" s="6">
        <f>'Пр.4 ведом.21'!G18</f>
        <v>1112.6799999999998</v>
      </c>
      <c r="G127" s="389">
        <f>'Пр.4 ведом.21'!H18</f>
        <v>996.21299999999997</v>
      </c>
      <c r="H127" s="389">
        <f t="shared" si="13"/>
        <v>89.532749757342643</v>
      </c>
    </row>
    <row r="128" spans="1:8" ht="15.75" x14ac:dyDescent="0.25">
      <c r="A128" s="29" t="s">
        <v>135</v>
      </c>
      <c r="B128" s="40" t="s">
        <v>118</v>
      </c>
      <c r="C128" s="40" t="s">
        <v>120</v>
      </c>
      <c r="D128" s="40" t="s">
        <v>859</v>
      </c>
      <c r="E128" s="40" t="s">
        <v>145</v>
      </c>
      <c r="F128" s="6">
        <f t="shared" ref="F128:G128" si="25">F129</f>
        <v>6.4200000000000017</v>
      </c>
      <c r="G128" s="389">
        <f t="shared" si="25"/>
        <v>1.415</v>
      </c>
      <c r="H128" s="389">
        <f t="shared" si="13"/>
        <v>22.040498442367596</v>
      </c>
    </row>
    <row r="129" spans="1:8" ht="15.75" x14ac:dyDescent="0.25">
      <c r="A129" s="29" t="s">
        <v>568</v>
      </c>
      <c r="B129" s="40" t="s">
        <v>118</v>
      </c>
      <c r="C129" s="40" t="s">
        <v>120</v>
      </c>
      <c r="D129" s="40" t="s">
        <v>859</v>
      </c>
      <c r="E129" s="40" t="s">
        <v>138</v>
      </c>
      <c r="F129" s="6">
        <f>'Пр.4 ведом.21'!G20</f>
        <v>6.4200000000000017</v>
      </c>
      <c r="G129" s="389">
        <f>'Пр.4 ведом.21'!H20</f>
        <v>1.415</v>
      </c>
      <c r="H129" s="389">
        <f t="shared" si="13"/>
        <v>22.040498442367596</v>
      </c>
    </row>
    <row r="130" spans="1:8" s="191" customFormat="1" ht="54" customHeight="1" x14ac:dyDescent="0.25">
      <c r="A130" s="396" t="s">
        <v>838</v>
      </c>
      <c r="B130" s="20" t="s">
        <v>118</v>
      </c>
      <c r="C130" s="20" t="s">
        <v>120</v>
      </c>
      <c r="D130" s="20" t="s">
        <v>861</v>
      </c>
      <c r="E130" s="20"/>
      <c r="F130" s="6">
        <f>F131</f>
        <v>320.59199999999998</v>
      </c>
      <c r="G130" s="389">
        <f>G131</f>
        <v>310.661</v>
      </c>
      <c r="H130" s="389">
        <f t="shared" si="13"/>
        <v>96.902293257473687</v>
      </c>
    </row>
    <row r="131" spans="1:8" s="191" customFormat="1" ht="80.45" customHeight="1" x14ac:dyDescent="0.25">
      <c r="A131" s="396" t="s">
        <v>127</v>
      </c>
      <c r="B131" s="20" t="s">
        <v>118</v>
      </c>
      <c r="C131" s="20" t="s">
        <v>120</v>
      </c>
      <c r="D131" s="20" t="s">
        <v>861</v>
      </c>
      <c r="E131" s="20" t="s">
        <v>128</v>
      </c>
      <c r="F131" s="6">
        <f>F132</f>
        <v>320.59199999999998</v>
      </c>
      <c r="G131" s="389">
        <f>G132</f>
        <v>310.661</v>
      </c>
      <c r="H131" s="389">
        <f t="shared" si="13"/>
        <v>96.902293257473687</v>
      </c>
    </row>
    <row r="132" spans="1:8" s="191" customFormat="1" ht="36" customHeight="1" x14ac:dyDescent="0.25">
      <c r="A132" s="396" t="s">
        <v>129</v>
      </c>
      <c r="B132" s="20" t="s">
        <v>118</v>
      </c>
      <c r="C132" s="20" t="s">
        <v>120</v>
      </c>
      <c r="D132" s="20" t="s">
        <v>861</v>
      </c>
      <c r="E132" s="20" t="s">
        <v>130</v>
      </c>
      <c r="F132" s="6">
        <f>'Пр.4 ведом.21'!G23+'Пр.4 ведом.21'!G126</f>
        <v>320.59199999999998</v>
      </c>
      <c r="G132" s="389">
        <f>'Пр.4 ведом.21'!H23+'Пр.4 ведом.21'!H126</f>
        <v>310.661</v>
      </c>
      <c r="H132" s="389">
        <f t="shared" si="13"/>
        <v>96.902293257473687</v>
      </c>
    </row>
    <row r="133" spans="1:8" s="387" customFormat="1" ht="36" customHeight="1" x14ac:dyDescent="0.25">
      <c r="A133" s="396" t="s">
        <v>1677</v>
      </c>
      <c r="B133" s="392" t="s">
        <v>118</v>
      </c>
      <c r="C133" s="392" t="s">
        <v>120</v>
      </c>
      <c r="D133" s="392" t="s">
        <v>1678</v>
      </c>
      <c r="E133" s="392"/>
      <c r="F133" s="397">
        <f>F134</f>
        <v>282.87490000000003</v>
      </c>
      <c r="G133" s="397">
        <f>G134</f>
        <v>282.87400000000002</v>
      </c>
      <c r="H133" s="389">
        <f t="shared" si="13"/>
        <v>99.999681838155311</v>
      </c>
    </row>
    <row r="134" spans="1:8" s="387" customFormat="1" ht="78.75" x14ac:dyDescent="0.25">
      <c r="A134" s="396" t="s">
        <v>127</v>
      </c>
      <c r="B134" s="392" t="s">
        <v>118</v>
      </c>
      <c r="C134" s="392" t="s">
        <v>120</v>
      </c>
      <c r="D134" s="392" t="s">
        <v>1678</v>
      </c>
      <c r="E134" s="392" t="s">
        <v>128</v>
      </c>
      <c r="F134" s="397">
        <f>F135</f>
        <v>282.87490000000003</v>
      </c>
      <c r="G134" s="397">
        <f>G135</f>
        <v>282.87400000000002</v>
      </c>
      <c r="H134" s="389">
        <f t="shared" si="13"/>
        <v>99.999681838155311</v>
      </c>
    </row>
    <row r="135" spans="1:8" s="387" customFormat="1" ht="36" customHeight="1" x14ac:dyDescent="0.25">
      <c r="A135" s="396" t="s">
        <v>129</v>
      </c>
      <c r="B135" s="392" t="s">
        <v>118</v>
      </c>
      <c r="C135" s="392" t="s">
        <v>120</v>
      </c>
      <c r="D135" s="392" t="s">
        <v>1678</v>
      </c>
      <c r="E135" s="392" t="s">
        <v>130</v>
      </c>
      <c r="F135" s="397">
        <f>'Пр.4 ведом.21'!G26+'Пр.4 ведом.21'!G137</f>
        <v>282.87490000000003</v>
      </c>
      <c r="G135" s="397">
        <f>'Пр.4 ведом.21'!H26+'Пр.4 ведом.21'!H137</f>
        <v>282.87400000000002</v>
      </c>
      <c r="H135" s="389">
        <f t="shared" si="13"/>
        <v>99.999681838155311</v>
      </c>
    </row>
    <row r="136" spans="1:8" s="387" customFormat="1" ht="36" customHeight="1" x14ac:dyDescent="0.25">
      <c r="A136" s="394" t="s">
        <v>1646</v>
      </c>
      <c r="B136" s="395" t="s">
        <v>118</v>
      </c>
      <c r="C136" s="395" t="s">
        <v>120</v>
      </c>
      <c r="D136" s="395" t="s">
        <v>1647</v>
      </c>
      <c r="E136" s="395"/>
      <c r="F136" s="388">
        <f>F137+F142+F145</f>
        <v>826.04</v>
      </c>
      <c r="G136" s="388">
        <f>G137+G142+G145</f>
        <v>693.44400000000007</v>
      </c>
      <c r="H136" s="492">
        <f t="shared" si="13"/>
        <v>83.947992833276857</v>
      </c>
    </row>
    <row r="137" spans="1:8" s="387" customFormat="1" ht="31.5" x14ac:dyDescent="0.25">
      <c r="A137" s="396" t="s">
        <v>896</v>
      </c>
      <c r="B137" s="392" t="s">
        <v>118</v>
      </c>
      <c r="C137" s="392" t="s">
        <v>120</v>
      </c>
      <c r="D137" s="392" t="s">
        <v>1650</v>
      </c>
      <c r="E137" s="392"/>
      <c r="F137" s="389">
        <f>F138+F140</f>
        <v>185</v>
      </c>
      <c r="G137" s="389">
        <f>G138+G140</f>
        <v>145.81700000000001</v>
      </c>
      <c r="H137" s="389">
        <f t="shared" ref="H137:H200" si="26">G137/F137*100</f>
        <v>78.820000000000007</v>
      </c>
    </row>
    <row r="138" spans="1:8" s="387" customFormat="1" ht="78.75" x14ac:dyDescent="0.25">
      <c r="A138" s="396" t="s">
        <v>127</v>
      </c>
      <c r="B138" s="392" t="s">
        <v>118</v>
      </c>
      <c r="C138" s="392" t="s">
        <v>120</v>
      </c>
      <c r="D138" s="392" t="s">
        <v>1650</v>
      </c>
      <c r="E138" s="392" t="s">
        <v>128</v>
      </c>
      <c r="F138" s="389">
        <f>F139</f>
        <v>161.69999999999999</v>
      </c>
      <c r="G138" s="389">
        <f>G139</f>
        <v>135.17099999999999</v>
      </c>
      <c r="H138" s="389">
        <f t="shared" si="26"/>
        <v>83.593692022263454</v>
      </c>
    </row>
    <row r="139" spans="1:8" s="387" customFormat="1" ht="31.5" x14ac:dyDescent="0.25">
      <c r="A139" s="396" t="s">
        <v>129</v>
      </c>
      <c r="B139" s="392" t="s">
        <v>118</v>
      </c>
      <c r="C139" s="392" t="s">
        <v>120</v>
      </c>
      <c r="D139" s="392" t="s">
        <v>1650</v>
      </c>
      <c r="E139" s="392" t="s">
        <v>130</v>
      </c>
      <c r="F139" s="389">
        <f>'Пр.4 ведом.21'!G558</f>
        <v>161.69999999999999</v>
      </c>
      <c r="G139" s="389">
        <f>'Пр.4 ведом.21'!H558</f>
        <v>135.17099999999999</v>
      </c>
      <c r="H139" s="389">
        <f t="shared" si="26"/>
        <v>83.593692022263454</v>
      </c>
    </row>
    <row r="140" spans="1:8" s="387" customFormat="1" ht="31.5" x14ac:dyDescent="0.25">
      <c r="A140" s="396" t="s">
        <v>198</v>
      </c>
      <c r="B140" s="392" t="s">
        <v>118</v>
      </c>
      <c r="C140" s="392" t="s">
        <v>120</v>
      </c>
      <c r="D140" s="392" t="s">
        <v>1650</v>
      </c>
      <c r="E140" s="392" t="s">
        <v>132</v>
      </c>
      <c r="F140" s="389">
        <f>F141</f>
        <v>23.3</v>
      </c>
      <c r="G140" s="389">
        <f>G141</f>
        <v>10.646000000000001</v>
      </c>
      <c r="H140" s="389">
        <f t="shared" si="26"/>
        <v>45.690987124463526</v>
      </c>
    </row>
    <row r="141" spans="1:8" s="387" customFormat="1" ht="31.5" x14ac:dyDescent="0.25">
      <c r="A141" s="396" t="s">
        <v>133</v>
      </c>
      <c r="B141" s="392" t="s">
        <v>118</v>
      </c>
      <c r="C141" s="392" t="s">
        <v>120</v>
      </c>
      <c r="D141" s="392" t="s">
        <v>1650</v>
      </c>
      <c r="E141" s="392" t="s">
        <v>134</v>
      </c>
      <c r="F141" s="389">
        <f>'Пр.4 ведом.21'!G560</f>
        <v>23.3</v>
      </c>
      <c r="G141" s="389">
        <f>'Пр.4 ведом.21'!H560</f>
        <v>10.646000000000001</v>
      </c>
      <c r="H141" s="389">
        <f t="shared" si="26"/>
        <v>45.690987124463526</v>
      </c>
    </row>
    <row r="142" spans="1:8" s="387" customFormat="1" ht="47.25" x14ac:dyDescent="0.25">
      <c r="A142" s="396" t="s">
        <v>1648</v>
      </c>
      <c r="B142" s="392" t="s">
        <v>118</v>
      </c>
      <c r="C142" s="392" t="s">
        <v>120</v>
      </c>
      <c r="D142" s="392" t="s">
        <v>1649</v>
      </c>
      <c r="E142" s="392"/>
      <c r="F142" s="389">
        <f>F143</f>
        <v>549.9</v>
      </c>
      <c r="G142" s="389">
        <f>G143</f>
        <v>456.48700000000002</v>
      </c>
      <c r="H142" s="389">
        <f t="shared" si="26"/>
        <v>83.012729587197668</v>
      </c>
    </row>
    <row r="143" spans="1:8" s="387" customFormat="1" ht="78.75" x14ac:dyDescent="0.25">
      <c r="A143" s="396" t="s">
        <v>127</v>
      </c>
      <c r="B143" s="392" t="s">
        <v>118</v>
      </c>
      <c r="C143" s="392" t="s">
        <v>120</v>
      </c>
      <c r="D143" s="392" t="s">
        <v>1649</v>
      </c>
      <c r="E143" s="392" t="s">
        <v>128</v>
      </c>
      <c r="F143" s="389">
        <f>F144</f>
        <v>549.9</v>
      </c>
      <c r="G143" s="389">
        <f>G144</f>
        <v>456.48700000000002</v>
      </c>
      <c r="H143" s="389">
        <f t="shared" si="26"/>
        <v>83.012729587197668</v>
      </c>
    </row>
    <row r="144" spans="1:8" s="387" customFormat="1" ht="31.5" x14ac:dyDescent="0.25">
      <c r="A144" s="396" t="s">
        <v>129</v>
      </c>
      <c r="B144" s="392" t="s">
        <v>118</v>
      </c>
      <c r="C144" s="392" t="s">
        <v>120</v>
      </c>
      <c r="D144" s="392" t="s">
        <v>1649</v>
      </c>
      <c r="E144" s="392" t="s">
        <v>130</v>
      </c>
      <c r="F144" s="389">
        <f>'Пр.4 ведом.21'!G563</f>
        <v>549.9</v>
      </c>
      <c r="G144" s="389">
        <f>'Пр.4 ведом.21'!H563</f>
        <v>456.48700000000002</v>
      </c>
      <c r="H144" s="389">
        <f t="shared" si="26"/>
        <v>83.012729587197668</v>
      </c>
    </row>
    <row r="145" spans="1:8" s="387" customFormat="1" ht="31.5" x14ac:dyDescent="0.25">
      <c r="A145" s="396" t="s">
        <v>1677</v>
      </c>
      <c r="B145" s="392" t="s">
        <v>118</v>
      </c>
      <c r="C145" s="392" t="s">
        <v>120</v>
      </c>
      <c r="D145" s="392" t="s">
        <v>1682</v>
      </c>
      <c r="E145" s="392"/>
      <c r="F145" s="389">
        <f>F146</f>
        <v>91.14</v>
      </c>
      <c r="G145" s="389">
        <f>G146</f>
        <v>91.14</v>
      </c>
      <c r="H145" s="389">
        <f t="shared" si="26"/>
        <v>100</v>
      </c>
    </row>
    <row r="146" spans="1:8" s="387" customFormat="1" ht="78.75" x14ac:dyDescent="0.25">
      <c r="A146" s="396" t="s">
        <v>127</v>
      </c>
      <c r="B146" s="392" t="s">
        <v>118</v>
      </c>
      <c r="C146" s="392" t="s">
        <v>120</v>
      </c>
      <c r="D146" s="392" t="s">
        <v>1682</v>
      </c>
      <c r="E146" s="392" t="s">
        <v>128</v>
      </c>
      <c r="F146" s="389">
        <f>F147</f>
        <v>91.14</v>
      </c>
      <c r="G146" s="389">
        <f>G147</f>
        <v>91.14</v>
      </c>
      <c r="H146" s="389">
        <f t="shared" si="26"/>
        <v>100</v>
      </c>
    </row>
    <row r="147" spans="1:8" s="387" customFormat="1" ht="31.5" x14ac:dyDescent="0.25">
      <c r="A147" s="396" t="s">
        <v>129</v>
      </c>
      <c r="B147" s="392" t="s">
        <v>118</v>
      </c>
      <c r="C147" s="392" t="s">
        <v>120</v>
      </c>
      <c r="D147" s="392" t="s">
        <v>1682</v>
      </c>
      <c r="E147" s="392" t="s">
        <v>130</v>
      </c>
      <c r="F147" s="389">
        <f>'Пр.4 ведом.21'!G566</f>
        <v>91.14</v>
      </c>
      <c r="G147" s="389">
        <f>'Пр.4 ведом.21'!H566</f>
        <v>91.14</v>
      </c>
      <c r="H147" s="389">
        <f t="shared" si="26"/>
        <v>100</v>
      </c>
    </row>
    <row r="148" spans="1:8" s="191" customFormat="1" ht="20.25" hidden="1" customHeight="1" x14ac:dyDescent="0.25">
      <c r="A148" s="394" t="s">
        <v>1145</v>
      </c>
      <c r="B148" s="24" t="s">
        <v>118</v>
      </c>
      <c r="C148" s="24" t="s">
        <v>264</v>
      </c>
      <c r="D148" s="24"/>
      <c r="E148" s="20"/>
      <c r="F148" s="21">
        <f t="shared" ref="F148:G150" si="27">F149</f>
        <v>0</v>
      </c>
      <c r="G148" s="393">
        <f t="shared" si="27"/>
        <v>0</v>
      </c>
      <c r="H148" s="389" t="e">
        <f t="shared" si="26"/>
        <v>#DIV/0!</v>
      </c>
    </row>
    <row r="149" spans="1:8" s="191" customFormat="1" ht="23.25" hidden="1" customHeight="1" x14ac:dyDescent="0.25">
      <c r="A149" s="394" t="s">
        <v>141</v>
      </c>
      <c r="B149" s="24" t="s">
        <v>118</v>
      </c>
      <c r="C149" s="24" t="s">
        <v>264</v>
      </c>
      <c r="D149" s="24" t="s">
        <v>865</v>
      </c>
      <c r="E149" s="20"/>
      <c r="F149" s="21">
        <f t="shared" si="27"/>
        <v>0</v>
      </c>
      <c r="G149" s="393">
        <f t="shared" si="27"/>
        <v>0</v>
      </c>
      <c r="H149" s="389" t="e">
        <f t="shared" si="26"/>
        <v>#DIV/0!</v>
      </c>
    </row>
    <row r="150" spans="1:8" s="191" customFormat="1" ht="36" hidden="1" customHeight="1" x14ac:dyDescent="0.25">
      <c r="A150" s="394" t="s">
        <v>869</v>
      </c>
      <c r="B150" s="24" t="s">
        <v>118</v>
      </c>
      <c r="C150" s="24" t="s">
        <v>264</v>
      </c>
      <c r="D150" s="24" t="s">
        <v>864</v>
      </c>
      <c r="E150" s="20"/>
      <c r="F150" s="21">
        <f t="shared" si="27"/>
        <v>0</v>
      </c>
      <c r="G150" s="393">
        <f t="shared" si="27"/>
        <v>0</v>
      </c>
      <c r="H150" s="389" t="e">
        <f t="shared" si="26"/>
        <v>#DIV/0!</v>
      </c>
    </row>
    <row r="151" spans="1:8" s="191" customFormat="1" ht="24" hidden="1" customHeight="1" x14ac:dyDescent="0.25">
      <c r="A151" s="45" t="s">
        <v>199</v>
      </c>
      <c r="B151" s="20" t="s">
        <v>118</v>
      </c>
      <c r="C151" s="20" t="s">
        <v>264</v>
      </c>
      <c r="D151" s="20" t="s">
        <v>1144</v>
      </c>
      <c r="E151" s="20"/>
      <c r="F151" s="26">
        <f>F152+F154</f>
        <v>0</v>
      </c>
      <c r="G151" s="397">
        <f>G152+G154</f>
        <v>0</v>
      </c>
      <c r="H151" s="389" t="e">
        <f t="shared" si="26"/>
        <v>#DIV/0!</v>
      </c>
    </row>
    <row r="152" spans="1:8" s="191" customFormat="1" ht="78.75" hidden="1" customHeight="1" x14ac:dyDescent="0.25">
      <c r="A152" s="396" t="s">
        <v>127</v>
      </c>
      <c r="B152" s="20" t="s">
        <v>118</v>
      </c>
      <c r="C152" s="20" t="s">
        <v>264</v>
      </c>
      <c r="D152" s="20" t="s">
        <v>1144</v>
      </c>
      <c r="E152" s="20" t="s">
        <v>128</v>
      </c>
      <c r="F152" s="26">
        <f>F153</f>
        <v>0</v>
      </c>
      <c r="G152" s="397">
        <f>G153</f>
        <v>0</v>
      </c>
      <c r="H152" s="389" t="e">
        <f t="shared" si="26"/>
        <v>#DIV/0!</v>
      </c>
    </row>
    <row r="153" spans="1:8" s="191" customFormat="1" ht="36" hidden="1" customHeight="1" x14ac:dyDescent="0.25">
      <c r="A153" s="396" t="s">
        <v>129</v>
      </c>
      <c r="B153" s="20" t="s">
        <v>118</v>
      </c>
      <c r="C153" s="20" t="s">
        <v>264</v>
      </c>
      <c r="D153" s="20" t="s">
        <v>1144</v>
      </c>
      <c r="E153" s="20" t="s">
        <v>130</v>
      </c>
      <c r="F153" s="26">
        <f>'Пр.4 ведом.21'!G132</f>
        <v>0</v>
      </c>
      <c r="G153" s="397">
        <f>'Пр.4 ведом.21'!H132</f>
        <v>0</v>
      </c>
      <c r="H153" s="389" t="e">
        <f t="shared" si="26"/>
        <v>#DIV/0!</v>
      </c>
    </row>
    <row r="154" spans="1:8" s="191" customFormat="1" ht="36" hidden="1" customHeight="1" x14ac:dyDescent="0.25">
      <c r="A154" s="396" t="s">
        <v>198</v>
      </c>
      <c r="B154" s="20" t="s">
        <v>118</v>
      </c>
      <c r="C154" s="20" t="s">
        <v>264</v>
      </c>
      <c r="D154" s="20" t="s">
        <v>1144</v>
      </c>
      <c r="E154" s="20" t="s">
        <v>132</v>
      </c>
      <c r="F154" s="26">
        <f>F155</f>
        <v>0</v>
      </c>
      <c r="G154" s="397">
        <f>G155</f>
        <v>0</v>
      </c>
      <c r="H154" s="389" t="e">
        <f t="shared" si="26"/>
        <v>#DIV/0!</v>
      </c>
    </row>
    <row r="155" spans="1:8" s="191" customFormat="1" ht="36" hidden="1" customHeight="1" x14ac:dyDescent="0.25">
      <c r="A155" s="396" t="s">
        <v>133</v>
      </c>
      <c r="B155" s="20" t="s">
        <v>118</v>
      </c>
      <c r="C155" s="20" t="s">
        <v>264</v>
      </c>
      <c r="D155" s="20" t="s">
        <v>1144</v>
      </c>
      <c r="E155" s="20" t="s">
        <v>134</v>
      </c>
      <c r="F155" s="26">
        <f>'Пр.4 ведом.21'!G134</f>
        <v>0</v>
      </c>
      <c r="G155" s="397">
        <f>'Пр.4 ведом.21'!H134</f>
        <v>0</v>
      </c>
      <c r="H155" s="389" t="e">
        <f t="shared" si="26"/>
        <v>#DIV/0!</v>
      </c>
    </row>
    <row r="156" spans="1:8" s="191" customFormat="1" ht="22.7" customHeight="1" x14ac:dyDescent="0.25">
      <c r="A156" s="394" t="s">
        <v>1399</v>
      </c>
      <c r="B156" s="24" t="s">
        <v>118</v>
      </c>
      <c r="C156" s="24" t="s">
        <v>491</v>
      </c>
      <c r="D156" s="24"/>
      <c r="E156" s="24"/>
      <c r="F156" s="21">
        <f>F157</f>
        <v>50</v>
      </c>
      <c r="G156" s="393">
        <f>G157</f>
        <v>0</v>
      </c>
      <c r="H156" s="492">
        <f t="shared" si="26"/>
        <v>0</v>
      </c>
    </row>
    <row r="157" spans="1:8" s="191" customFormat="1" ht="18.399999999999999" customHeight="1" x14ac:dyDescent="0.25">
      <c r="A157" s="394" t="s">
        <v>141</v>
      </c>
      <c r="B157" s="24" t="s">
        <v>118</v>
      </c>
      <c r="C157" s="24" t="s">
        <v>491</v>
      </c>
      <c r="D157" s="24" t="s">
        <v>865</v>
      </c>
      <c r="E157" s="24"/>
      <c r="F157" s="21">
        <f t="shared" ref="F157:G159" si="28">F158</f>
        <v>50</v>
      </c>
      <c r="G157" s="393">
        <f t="shared" si="28"/>
        <v>0</v>
      </c>
      <c r="H157" s="492">
        <f t="shared" si="26"/>
        <v>0</v>
      </c>
    </row>
    <row r="158" spans="1:8" s="191" customFormat="1" ht="36" customHeight="1" x14ac:dyDescent="0.25">
      <c r="A158" s="394" t="s">
        <v>869</v>
      </c>
      <c r="B158" s="24" t="s">
        <v>118</v>
      </c>
      <c r="C158" s="24" t="s">
        <v>491</v>
      </c>
      <c r="D158" s="24" t="s">
        <v>864</v>
      </c>
      <c r="E158" s="24"/>
      <c r="F158" s="21">
        <f t="shared" si="28"/>
        <v>50</v>
      </c>
      <c r="G158" s="393">
        <f t="shared" si="28"/>
        <v>0</v>
      </c>
      <c r="H158" s="492">
        <f t="shared" si="26"/>
        <v>0</v>
      </c>
    </row>
    <row r="159" spans="1:8" s="191" customFormat="1" ht="16.350000000000001" customHeight="1" x14ac:dyDescent="0.25">
      <c r="A159" s="396" t="s">
        <v>1135</v>
      </c>
      <c r="B159" s="20" t="s">
        <v>118</v>
      </c>
      <c r="C159" s="20" t="s">
        <v>491</v>
      </c>
      <c r="D159" s="20" t="s">
        <v>1136</v>
      </c>
      <c r="E159" s="20"/>
      <c r="F159" s="26">
        <f t="shared" si="28"/>
        <v>50</v>
      </c>
      <c r="G159" s="397">
        <f t="shared" si="28"/>
        <v>0</v>
      </c>
      <c r="H159" s="389">
        <f t="shared" si="26"/>
        <v>0</v>
      </c>
    </row>
    <row r="160" spans="1:8" s="191" customFormat="1" ht="23.85" customHeight="1" x14ac:dyDescent="0.25">
      <c r="A160" s="396" t="s">
        <v>135</v>
      </c>
      <c r="B160" s="20" t="s">
        <v>118</v>
      </c>
      <c r="C160" s="20" t="s">
        <v>491</v>
      </c>
      <c r="D160" s="20" t="s">
        <v>1136</v>
      </c>
      <c r="E160" s="20" t="s">
        <v>145</v>
      </c>
      <c r="F160" s="26">
        <f>F161</f>
        <v>50</v>
      </c>
      <c r="G160" s="397">
        <f>G161</f>
        <v>0</v>
      </c>
      <c r="H160" s="389">
        <f t="shared" si="26"/>
        <v>0</v>
      </c>
    </row>
    <row r="161" spans="1:8" s="191" customFormat="1" ht="19.7" customHeight="1" x14ac:dyDescent="0.25">
      <c r="A161" s="396" t="s">
        <v>1135</v>
      </c>
      <c r="B161" s="20" t="s">
        <v>118</v>
      </c>
      <c r="C161" s="20" t="s">
        <v>491</v>
      </c>
      <c r="D161" s="20" t="s">
        <v>1136</v>
      </c>
      <c r="E161" s="20" t="s">
        <v>1137</v>
      </c>
      <c r="F161" s="26">
        <f>'Пр.4 ведом.21'!G32</f>
        <v>50</v>
      </c>
      <c r="G161" s="397">
        <f>'Пр.4 ведом.21'!H32</f>
        <v>0</v>
      </c>
      <c r="H161" s="389">
        <f t="shared" si="26"/>
        <v>0</v>
      </c>
    </row>
    <row r="162" spans="1:8" ht="15.75" x14ac:dyDescent="0.25">
      <c r="A162" s="400" t="s">
        <v>139</v>
      </c>
      <c r="B162" s="7" t="s">
        <v>118</v>
      </c>
      <c r="C162" s="7" t="s">
        <v>140</v>
      </c>
      <c r="D162" s="7"/>
      <c r="E162" s="7"/>
      <c r="F162" s="4">
        <f>F163+F202+F211+F228+F237+F242+F247</f>
        <v>77967.301229999983</v>
      </c>
      <c r="G162" s="388">
        <f>G163+G202+G211+G228+G237+G242+G247</f>
        <v>75320.294999999998</v>
      </c>
      <c r="H162" s="492">
        <f t="shared" si="26"/>
        <v>96.604979025512975</v>
      </c>
    </row>
    <row r="163" spans="1:8" s="191" customFormat="1" ht="15.75" x14ac:dyDescent="0.25">
      <c r="A163" s="394" t="s">
        <v>141</v>
      </c>
      <c r="B163" s="24" t="s">
        <v>118</v>
      </c>
      <c r="C163" s="24" t="s">
        <v>140</v>
      </c>
      <c r="D163" s="24" t="s">
        <v>865</v>
      </c>
      <c r="E163" s="24"/>
      <c r="F163" s="4">
        <f>F164+F181+F190</f>
        <v>76588.581229999982</v>
      </c>
      <c r="G163" s="388">
        <f>G164+G181+G190</f>
        <v>74594.357999999993</v>
      </c>
      <c r="H163" s="492">
        <f t="shared" si="26"/>
        <v>97.396187267118549</v>
      </c>
    </row>
    <row r="164" spans="1:8" s="191" customFormat="1" ht="15.75" x14ac:dyDescent="0.25">
      <c r="A164" s="394" t="s">
        <v>953</v>
      </c>
      <c r="B164" s="24" t="s">
        <v>118</v>
      </c>
      <c r="C164" s="24" t="s">
        <v>140</v>
      </c>
      <c r="D164" s="24" t="s">
        <v>952</v>
      </c>
      <c r="E164" s="24"/>
      <c r="F164" s="333">
        <f>F168+F165+F178</f>
        <v>52712.478999999992</v>
      </c>
      <c r="G164" s="333">
        <f>G168+G165+G178</f>
        <v>50929.853999999999</v>
      </c>
      <c r="H164" s="492">
        <f t="shared" si="26"/>
        <v>96.618210651788942</v>
      </c>
    </row>
    <row r="165" spans="1:8" s="191" customFormat="1" ht="47.25" x14ac:dyDescent="0.25">
      <c r="A165" s="396" t="s">
        <v>838</v>
      </c>
      <c r="B165" s="20" t="s">
        <v>118</v>
      </c>
      <c r="C165" s="20" t="s">
        <v>140</v>
      </c>
      <c r="D165" s="20" t="s">
        <v>955</v>
      </c>
      <c r="E165" s="20"/>
      <c r="F165" s="6">
        <f>F166</f>
        <v>522.5</v>
      </c>
      <c r="G165" s="389">
        <f>G166</f>
        <v>455.27199999999999</v>
      </c>
      <c r="H165" s="389">
        <f t="shared" si="26"/>
        <v>87.133397129186591</v>
      </c>
    </row>
    <row r="166" spans="1:8" s="191" customFormat="1" ht="78.75" x14ac:dyDescent="0.25">
      <c r="A166" s="396" t="s">
        <v>127</v>
      </c>
      <c r="B166" s="20" t="s">
        <v>118</v>
      </c>
      <c r="C166" s="20" t="s">
        <v>140</v>
      </c>
      <c r="D166" s="20" t="s">
        <v>955</v>
      </c>
      <c r="E166" s="20" t="s">
        <v>128</v>
      </c>
      <c r="F166" s="6">
        <f>F167</f>
        <v>522.5</v>
      </c>
      <c r="G166" s="389">
        <f>G167</f>
        <v>455.27199999999999</v>
      </c>
      <c r="H166" s="389">
        <f t="shared" si="26"/>
        <v>87.133397129186591</v>
      </c>
    </row>
    <row r="167" spans="1:8" s="191" customFormat="1" ht="31.5" x14ac:dyDescent="0.25">
      <c r="A167" s="396" t="s">
        <v>129</v>
      </c>
      <c r="B167" s="20" t="s">
        <v>118</v>
      </c>
      <c r="C167" s="20" t="s">
        <v>140</v>
      </c>
      <c r="D167" s="20" t="s">
        <v>955</v>
      </c>
      <c r="E167" s="20" t="s">
        <v>209</v>
      </c>
      <c r="F167" s="6">
        <f>'Пр.4 ведом.21'!G965</f>
        <v>522.5</v>
      </c>
      <c r="G167" s="389">
        <f>'Пр.4 ведом.21'!H965</f>
        <v>455.27199999999999</v>
      </c>
      <c r="H167" s="389">
        <f t="shared" si="26"/>
        <v>87.133397129186591</v>
      </c>
    </row>
    <row r="168" spans="1:8" s="191" customFormat="1" ht="15.75" x14ac:dyDescent="0.25">
      <c r="A168" s="396" t="s">
        <v>801</v>
      </c>
      <c r="B168" s="20" t="s">
        <v>118</v>
      </c>
      <c r="C168" s="20" t="s">
        <v>140</v>
      </c>
      <c r="D168" s="20" t="s">
        <v>954</v>
      </c>
      <c r="E168" s="20"/>
      <c r="F168" s="331">
        <f>F169+F171+F175+F173</f>
        <v>51363.028999999995</v>
      </c>
      <c r="G168" s="331">
        <f>G169+G171+G175+G173</f>
        <v>49647.632000000005</v>
      </c>
      <c r="H168" s="389">
        <f t="shared" si="26"/>
        <v>96.660249534738313</v>
      </c>
    </row>
    <row r="169" spans="1:8" s="191" customFormat="1" ht="78.75" x14ac:dyDescent="0.25">
      <c r="A169" s="396" t="s">
        <v>127</v>
      </c>
      <c r="B169" s="20" t="s">
        <v>118</v>
      </c>
      <c r="C169" s="20" t="s">
        <v>140</v>
      </c>
      <c r="D169" s="20" t="s">
        <v>954</v>
      </c>
      <c r="E169" s="20" t="s">
        <v>128</v>
      </c>
      <c r="F169" s="331">
        <f t="shared" ref="F169:G169" si="29">F170</f>
        <v>35232.398999999998</v>
      </c>
      <c r="G169" s="331">
        <f t="shared" si="29"/>
        <v>35105.281000000003</v>
      </c>
      <c r="H169" s="389">
        <f t="shared" si="26"/>
        <v>99.639201406637127</v>
      </c>
    </row>
    <row r="170" spans="1:8" s="191" customFormat="1" ht="20.25" customHeight="1" x14ac:dyDescent="0.25">
      <c r="A170" s="46" t="s">
        <v>342</v>
      </c>
      <c r="B170" s="20" t="s">
        <v>118</v>
      </c>
      <c r="C170" s="20" t="s">
        <v>140</v>
      </c>
      <c r="D170" s="20" t="s">
        <v>954</v>
      </c>
      <c r="E170" s="20" t="s">
        <v>209</v>
      </c>
      <c r="F170" s="331">
        <f>'Пр.4 ведом.21'!G968</f>
        <v>35232.398999999998</v>
      </c>
      <c r="G170" s="331">
        <f>'Пр.4 ведом.21'!H968</f>
        <v>35105.281000000003</v>
      </c>
      <c r="H170" s="389">
        <f t="shared" si="26"/>
        <v>99.639201406637127</v>
      </c>
    </row>
    <row r="171" spans="1:8" s="191" customFormat="1" ht="31.5" x14ac:dyDescent="0.25">
      <c r="A171" s="396" t="s">
        <v>131</v>
      </c>
      <c r="B171" s="20" t="s">
        <v>118</v>
      </c>
      <c r="C171" s="20" t="s">
        <v>140</v>
      </c>
      <c r="D171" s="20" t="s">
        <v>954</v>
      </c>
      <c r="E171" s="20" t="s">
        <v>132</v>
      </c>
      <c r="F171" s="331">
        <f t="shared" ref="F171:G171" si="30">F172</f>
        <v>15566.430000000002</v>
      </c>
      <c r="G171" s="331">
        <f t="shared" si="30"/>
        <v>13991.736000000001</v>
      </c>
      <c r="H171" s="389">
        <f t="shared" si="26"/>
        <v>89.884038922219162</v>
      </c>
    </row>
    <row r="172" spans="1:8" s="191" customFormat="1" ht="31.5" x14ac:dyDescent="0.25">
      <c r="A172" s="396" t="s">
        <v>133</v>
      </c>
      <c r="B172" s="20" t="s">
        <v>118</v>
      </c>
      <c r="C172" s="20" t="s">
        <v>140</v>
      </c>
      <c r="D172" s="20" t="s">
        <v>954</v>
      </c>
      <c r="E172" s="20" t="s">
        <v>134</v>
      </c>
      <c r="F172" s="331">
        <f>'Пр.4 ведом.21'!G970</f>
        <v>15566.430000000002</v>
      </c>
      <c r="G172" s="331">
        <f>'Пр.4 ведом.21'!H970</f>
        <v>13991.736000000001</v>
      </c>
      <c r="H172" s="389">
        <f t="shared" si="26"/>
        <v>89.884038922219162</v>
      </c>
    </row>
    <row r="173" spans="1:8" s="387" customFormat="1" ht="31.5" x14ac:dyDescent="0.25">
      <c r="A173" s="396" t="s">
        <v>248</v>
      </c>
      <c r="B173" s="392" t="s">
        <v>118</v>
      </c>
      <c r="C173" s="392" t="s">
        <v>140</v>
      </c>
      <c r="D173" s="392" t="s">
        <v>954</v>
      </c>
      <c r="E173" s="392" t="s">
        <v>249</v>
      </c>
      <c r="F173" s="331">
        <f>F174</f>
        <v>11</v>
      </c>
      <c r="G173" s="331">
        <f>G174</f>
        <v>0</v>
      </c>
      <c r="H173" s="389">
        <f t="shared" si="26"/>
        <v>0</v>
      </c>
    </row>
    <row r="174" spans="1:8" s="387" customFormat="1" ht="31.5" x14ac:dyDescent="0.25">
      <c r="A174" s="396" t="s">
        <v>250</v>
      </c>
      <c r="B174" s="392" t="s">
        <v>118</v>
      </c>
      <c r="C174" s="392" t="s">
        <v>140</v>
      </c>
      <c r="D174" s="392" t="s">
        <v>954</v>
      </c>
      <c r="E174" s="392" t="s">
        <v>251</v>
      </c>
      <c r="F174" s="331">
        <f>'Пр.4 ведом.21'!G972</f>
        <v>11</v>
      </c>
      <c r="G174" s="331">
        <f>'Пр.4 ведом.21'!H972</f>
        <v>0</v>
      </c>
      <c r="H174" s="389">
        <f t="shared" si="26"/>
        <v>0</v>
      </c>
    </row>
    <row r="175" spans="1:8" s="191" customFormat="1" ht="15.75" x14ac:dyDescent="0.25">
      <c r="A175" s="396" t="s">
        <v>135</v>
      </c>
      <c r="B175" s="20" t="s">
        <v>118</v>
      </c>
      <c r="C175" s="20" t="s">
        <v>140</v>
      </c>
      <c r="D175" s="20" t="s">
        <v>954</v>
      </c>
      <c r="E175" s="20" t="s">
        <v>145</v>
      </c>
      <c r="F175" s="331">
        <f>F176+F177</f>
        <v>553.19999999999993</v>
      </c>
      <c r="G175" s="331">
        <f>G176+G177</f>
        <v>550.61500000000001</v>
      </c>
      <c r="H175" s="389">
        <f t="shared" si="26"/>
        <v>99.532718727404216</v>
      </c>
    </row>
    <row r="176" spans="1:8" s="387" customFormat="1" ht="15.75" x14ac:dyDescent="0.25">
      <c r="A176" s="396" t="s">
        <v>146</v>
      </c>
      <c r="B176" s="392" t="s">
        <v>118</v>
      </c>
      <c r="C176" s="392" t="s">
        <v>140</v>
      </c>
      <c r="D176" s="392" t="s">
        <v>954</v>
      </c>
      <c r="E176" s="392" t="s">
        <v>147</v>
      </c>
      <c r="F176" s="331">
        <f>'Пр.4 ведом.21'!G974</f>
        <v>10</v>
      </c>
      <c r="G176" s="331">
        <f>'Пр.4 ведом.21'!H974</f>
        <v>10</v>
      </c>
      <c r="H176" s="389">
        <f t="shared" si="26"/>
        <v>100</v>
      </c>
    </row>
    <row r="177" spans="1:8" s="191" customFormat="1" ht="15.75" x14ac:dyDescent="0.25">
      <c r="A177" s="396" t="s">
        <v>704</v>
      </c>
      <c r="B177" s="20" t="s">
        <v>118</v>
      </c>
      <c r="C177" s="20" t="s">
        <v>140</v>
      </c>
      <c r="D177" s="20" t="s">
        <v>954</v>
      </c>
      <c r="E177" s="20" t="s">
        <v>138</v>
      </c>
      <c r="F177" s="331">
        <f>'Пр.4 ведом.21'!G975</f>
        <v>543.19999999999993</v>
      </c>
      <c r="G177" s="331">
        <f>'Пр.4 ведом.21'!H975</f>
        <v>540.61500000000001</v>
      </c>
      <c r="H177" s="389">
        <f t="shared" si="26"/>
        <v>99.524116347569972</v>
      </c>
    </row>
    <row r="178" spans="1:8" s="387" customFormat="1" ht="47.25" x14ac:dyDescent="0.25">
      <c r="A178" s="396" t="s">
        <v>1660</v>
      </c>
      <c r="B178" s="392" t="s">
        <v>118</v>
      </c>
      <c r="C178" s="392" t="s">
        <v>140</v>
      </c>
      <c r="D178" s="392" t="s">
        <v>1676</v>
      </c>
      <c r="E178" s="392"/>
      <c r="F178" s="331">
        <f>F179</f>
        <v>826.95</v>
      </c>
      <c r="G178" s="331">
        <f>G179</f>
        <v>826.95</v>
      </c>
      <c r="H178" s="389">
        <f t="shared" si="26"/>
        <v>100</v>
      </c>
    </row>
    <row r="179" spans="1:8" s="387" customFormat="1" ht="78.75" x14ac:dyDescent="0.25">
      <c r="A179" s="396" t="s">
        <v>127</v>
      </c>
      <c r="B179" s="392" t="s">
        <v>118</v>
      </c>
      <c r="C179" s="392" t="s">
        <v>140</v>
      </c>
      <c r="D179" s="392" t="s">
        <v>1676</v>
      </c>
      <c r="E179" s="392" t="s">
        <v>128</v>
      </c>
      <c r="F179" s="331">
        <f>F180</f>
        <v>826.95</v>
      </c>
      <c r="G179" s="331">
        <f>G180</f>
        <v>826.95</v>
      </c>
      <c r="H179" s="389">
        <f t="shared" si="26"/>
        <v>100</v>
      </c>
    </row>
    <row r="180" spans="1:8" s="387" customFormat="1" ht="31.5" x14ac:dyDescent="0.25">
      <c r="A180" s="46" t="s">
        <v>342</v>
      </c>
      <c r="B180" s="392" t="s">
        <v>118</v>
      </c>
      <c r="C180" s="392" t="s">
        <v>140</v>
      </c>
      <c r="D180" s="392" t="s">
        <v>1676</v>
      </c>
      <c r="E180" s="392" t="s">
        <v>209</v>
      </c>
      <c r="F180" s="331">
        <f>'Пр.4 ведом.21'!G978</f>
        <v>826.95</v>
      </c>
      <c r="G180" s="331">
        <f>'Пр.4 ведом.21'!H978</f>
        <v>826.95</v>
      </c>
      <c r="H180" s="389">
        <f t="shared" si="26"/>
        <v>100</v>
      </c>
    </row>
    <row r="181" spans="1:8" s="191" customFormat="1" ht="31.5" x14ac:dyDescent="0.25">
      <c r="A181" s="394" t="s">
        <v>869</v>
      </c>
      <c r="B181" s="24" t="s">
        <v>118</v>
      </c>
      <c r="C181" s="24" t="s">
        <v>140</v>
      </c>
      <c r="D181" s="24" t="s">
        <v>864</v>
      </c>
      <c r="E181" s="24"/>
      <c r="F181" s="4">
        <f>F182+F187</f>
        <v>17423.2</v>
      </c>
      <c r="G181" s="388">
        <f>G182+G187</f>
        <v>17279.573</v>
      </c>
      <c r="H181" s="492">
        <f t="shared" si="26"/>
        <v>99.175656595803304</v>
      </c>
    </row>
    <row r="182" spans="1:8" s="191" customFormat="1" ht="47.25" x14ac:dyDescent="0.25">
      <c r="A182" s="396" t="s">
        <v>388</v>
      </c>
      <c r="B182" s="20" t="s">
        <v>118</v>
      </c>
      <c r="C182" s="20" t="s">
        <v>140</v>
      </c>
      <c r="D182" s="20" t="s">
        <v>1010</v>
      </c>
      <c r="E182" s="20"/>
      <c r="F182" s="6">
        <f>F183+F185</f>
        <v>12423.2</v>
      </c>
      <c r="G182" s="389">
        <f>G183+G185</f>
        <v>12279.573</v>
      </c>
      <c r="H182" s="389">
        <f t="shared" si="26"/>
        <v>98.843880803657669</v>
      </c>
    </row>
    <row r="183" spans="1:8" s="191" customFormat="1" ht="31.5" x14ac:dyDescent="0.25">
      <c r="A183" s="396" t="s">
        <v>131</v>
      </c>
      <c r="B183" s="20" t="s">
        <v>118</v>
      </c>
      <c r="C183" s="20" t="s">
        <v>140</v>
      </c>
      <c r="D183" s="20" t="s">
        <v>1010</v>
      </c>
      <c r="E183" s="20" t="s">
        <v>132</v>
      </c>
      <c r="F183" s="6">
        <f>F184</f>
        <v>6068.8000000000011</v>
      </c>
      <c r="G183" s="389">
        <f>G184</f>
        <v>5925.1729999999998</v>
      </c>
      <c r="H183" s="389">
        <f t="shared" si="26"/>
        <v>97.633354205114671</v>
      </c>
    </row>
    <row r="184" spans="1:8" s="191" customFormat="1" ht="31.5" x14ac:dyDescent="0.25">
      <c r="A184" s="396" t="s">
        <v>133</v>
      </c>
      <c r="B184" s="20" t="s">
        <v>118</v>
      </c>
      <c r="C184" s="20" t="s">
        <v>140</v>
      </c>
      <c r="D184" s="20" t="s">
        <v>1010</v>
      </c>
      <c r="E184" s="20" t="s">
        <v>134</v>
      </c>
      <c r="F184" s="6">
        <f>'Пр.4 ведом.21'!G594</f>
        <v>6068.8000000000011</v>
      </c>
      <c r="G184" s="389">
        <f>'Пр.4 ведом.21'!H594</f>
        <v>5925.1729999999998</v>
      </c>
      <c r="H184" s="389">
        <f t="shared" si="26"/>
        <v>97.633354205114671</v>
      </c>
    </row>
    <row r="185" spans="1:8" s="387" customFormat="1" ht="15.75" x14ac:dyDescent="0.25">
      <c r="A185" s="396" t="s">
        <v>135</v>
      </c>
      <c r="B185" s="392" t="s">
        <v>118</v>
      </c>
      <c r="C185" s="392" t="s">
        <v>140</v>
      </c>
      <c r="D185" s="392" t="s">
        <v>1010</v>
      </c>
      <c r="E185" s="392" t="s">
        <v>145</v>
      </c>
      <c r="F185" s="389">
        <f>F186</f>
        <v>6354.4</v>
      </c>
      <c r="G185" s="389">
        <f>G186</f>
        <v>6354.4</v>
      </c>
      <c r="H185" s="389">
        <f t="shared" si="26"/>
        <v>100</v>
      </c>
    </row>
    <row r="186" spans="1:8" s="387" customFormat="1" ht="47.25" x14ac:dyDescent="0.25">
      <c r="A186" s="396" t="s">
        <v>835</v>
      </c>
      <c r="B186" s="392" t="s">
        <v>118</v>
      </c>
      <c r="C186" s="392" t="s">
        <v>140</v>
      </c>
      <c r="D186" s="392" t="s">
        <v>1010</v>
      </c>
      <c r="E186" s="392" t="s">
        <v>147</v>
      </c>
      <c r="F186" s="389">
        <f>'Пр.4 ведом.21'!G596</f>
        <v>6354.4</v>
      </c>
      <c r="G186" s="389">
        <f>'Пр.4 ведом.21'!H596</f>
        <v>6354.4</v>
      </c>
      <c r="H186" s="389">
        <f t="shared" si="26"/>
        <v>100</v>
      </c>
    </row>
    <row r="187" spans="1:8" s="191" customFormat="1" ht="15.75" x14ac:dyDescent="0.25">
      <c r="A187" s="396" t="s">
        <v>199</v>
      </c>
      <c r="B187" s="20" t="s">
        <v>118</v>
      </c>
      <c r="C187" s="20" t="s">
        <v>140</v>
      </c>
      <c r="D187" s="392" t="s">
        <v>1144</v>
      </c>
      <c r="E187" s="392"/>
      <c r="F187" s="6">
        <f>F188</f>
        <v>5000</v>
      </c>
      <c r="G187" s="389">
        <f>G188</f>
        <v>5000</v>
      </c>
      <c r="H187" s="389">
        <f t="shared" si="26"/>
        <v>100</v>
      </c>
    </row>
    <row r="188" spans="1:8" s="191" customFormat="1" ht="15.75" x14ac:dyDescent="0.25">
      <c r="A188" s="396" t="s">
        <v>135</v>
      </c>
      <c r="B188" s="20" t="s">
        <v>118</v>
      </c>
      <c r="C188" s="20" t="s">
        <v>140</v>
      </c>
      <c r="D188" s="392" t="s">
        <v>1144</v>
      </c>
      <c r="E188" s="392" t="s">
        <v>145</v>
      </c>
      <c r="F188" s="6">
        <f>F189</f>
        <v>5000</v>
      </c>
      <c r="G188" s="389">
        <f>G189</f>
        <v>5000</v>
      </c>
      <c r="H188" s="389">
        <f t="shared" si="26"/>
        <v>100</v>
      </c>
    </row>
    <row r="189" spans="1:8" s="191" customFormat="1" ht="15.75" x14ac:dyDescent="0.25">
      <c r="A189" s="396" t="s">
        <v>568</v>
      </c>
      <c r="B189" s="20" t="s">
        <v>118</v>
      </c>
      <c r="C189" s="20" t="s">
        <v>140</v>
      </c>
      <c r="D189" s="392" t="s">
        <v>1144</v>
      </c>
      <c r="E189" s="392" t="s">
        <v>138</v>
      </c>
      <c r="F189" s="6">
        <f>'Пр.4 ведом.21'!G143</f>
        <v>5000</v>
      </c>
      <c r="G189" s="389">
        <f>'Пр.4 ведом.21'!H143</f>
        <v>5000</v>
      </c>
      <c r="H189" s="389">
        <f t="shared" si="26"/>
        <v>100</v>
      </c>
    </row>
    <row r="190" spans="1:8" s="191" customFormat="1" ht="31.5" x14ac:dyDescent="0.25">
      <c r="A190" s="394" t="s">
        <v>921</v>
      </c>
      <c r="B190" s="24" t="s">
        <v>118</v>
      </c>
      <c r="C190" s="24" t="s">
        <v>140</v>
      </c>
      <c r="D190" s="24" t="s">
        <v>866</v>
      </c>
      <c r="E190" s="24"/>
      <c r="F190" s="4">
        <f>F191+F196+F199</f>
        <v>6452.9022299999997</v>
      </c>
      <c r="G190" s="388">
        <f>G191+G196+G199</f>
        <v>6384.9309999999996</v>
      </c>
      <c r="H190" s="492">
        <f t="shared" si="26"/>
        <v>98.946656441128184</v>
      </c>
    </row>
    <row r="191" spans="1:8" s="191" customFormat="1" ht="31.5" x14ac:dyDescent="0.25">
      <c r="A191" s="396" t="s">
        <v>927</v>
      </c>
      <c r="B191" s="20" t="s">
        <v>118</v>
      </c>
      <c r="C191" s="20" t="s">
        <v>140</v>
      </c>
      <c r="D191" s="20" t="s">
        <v>867</v>
      </c>
      <c r="E191" s="20"/>
      <c r="F191" s="6">
        <f>F192+F194</f>
        <v>6024.4852300000002</v>
      </c>
      <c r="G191" s="389">
        <f>G192+G194</f>
        <v>5956.61</v>
      </c>
      <c r="H191" s="389">
        <f t="shared" si="26"/>
        <v>98.873343905600379</v>
      </c>
    </row>
    <row r="192" spans="1:8" s="191" customFormat="1" ht="78.75" x14ac:dyDescent="0.25">
      <c r="A192" s="396" t="s">
        <v>127</v>
      </c>
      <c r="B192" s="20" t="s">
        <v>118</v>
      </c>
      <c r="C192" s="20" t="s">
        <v>140</v>
      </c>
      <c r="D192" s="20" t="s">
        <v>867</v>
      </c>
      <c r="E192" s="20" t="s">
        <v>128</v>
      </c>
      <c r="F192" s="6">
        <f>F193</f>
        <v>4401</v>
      </c>
      <c r="G192" s="389">
        <f>G193</f>
        <v>4359.2929999999997</v>
      </c>
      <c r="H192" s="389">
        <f t="shared" si="26"/>
        <v>99.052329016132688</v>
      </c>
    </row>
    <row r="193" spans="1:8" s="191" customFormat="1" ht="15.75" x14ac:dyDescent="0.25">
      <c r="A193" s="396" t="s">
        <v>208</v>
      </c>
      <c r="B193" s="20" t="s">
        <v>118</v>
      </c>
      <c r="C193" s="20" t="s">
        <v>140</v>
      </c>
      <c r="D193" s="20" t="s">
        <v>867</v>
      </c>
      <c r="E193" s="20" t="s">
        <v>209</v>
      </c>
      <c r="F193" s="6">
        <f>'Пр.4 ведом.21'!G147</f>
        <v>4401</v>
      </c>
      <c r="G193" s="389">
        <f>'Пр.4 ведом.21'!H147</f>
        <v>4359.2929999999997</v>
      </c>
      <c r="H193" s="389">
        <f t="shared" si="26"/>
        <v>99.052329016132688</v>
      </c>
    </row>
    <row r="194" spans="1:8" s="191" customFormat="1" ht="31.5" x14ac:dyDescent="0.25">
      <c r="A194" s="396" t="s">
        <v>198</v>
      </c>
      <c r="B194" s="20" t="s">
        <v>118</v>
      </c>
      <c r="C194" s="20" t="s">
        <v>140</v>
      </c>
      <c r="D194" s="20" t="s">
        <v>867</v>
      </c>
      <c r="E194" s="20" t="s">
        <v>132</v>
      </c>
      <c r="F194" s="6">
        <f>F195</f>
        <v>1623.4852299999998</v>
      </c>
      <c r="G194" s="389">
        <f>G195</f>
        <v>1597.317</v>
      </c>
      <c r="H194" s="389">
        <f t="shared" si="26"/>
        <v>98.38814486781628</v>
      </c>
    </row>
    <row r="195" spans="1:8" s="191" customFormat="1" ht="31.5" x14ac:dyDescent="0.25">
      <c r="A195" s="396" t="s">
        <v>133</v>
      </c>
      <c r="B195" s="20" t="s">
        <v>118</v>
      </c>
      <c r="C195" s="20" t="s">
        <v>140</v>
      </c>
      <c r="D195" s="20" t="s">
        <v>867</v>
      </c>
      <c r="E195" s="20" t="s">
        <v>134</v>
      </c>
      <c r="F195" s="6">
        <f>'Пр.4 ведом.21'!G149</f>
        <v>1623.4852299999998</v>
      </c>
      <c r="G195" s="389">
        <f>'Пр.4 ведом.21'!H149</f>
        <v>1597.317</v>
      </c>
      <c r="H195" s="389">
        <f t="shared" si="26"/>
        <v>98.38814486781628</v>
      </c>
    </row>
    <row r="196" spans="1:8" s="191" customFormat="1" ht="47.25" x14ac:dyDescent="0.25">
      <c r="A196" s="396" t="s">
        <v>838</v>
      </c>
      <c r="B196" s="20" t="s">
        <v>118</v>
      </c>
      <c r="C196" s="20" t="s">
        <v>140</v>
      </c>
      <c r="D196" s="20" t="s">
        <v>868</v>
      </c>
      <c r="E196" s="20"/>
      <c r="F196" s="6">
        <f>F197</f>
        <v>331.36</v>
      </c>
      <c r="G196" s="389">
        <f>G197</f>
        <v>331.26400000000001</v>
      </c>
      <c r="H196" s="389">
        <f t="shared" si="26"/>
        <v>99.97102848865282</v>
      </c>
    </row>
    <row r="197" spans="1:8" s="191" customFormat="1" ht="78.75" x14ac:dyDescent="0.25">
      <c r="A197" s="396" t="s">
        <v>127</v>
      </c>
      <c r="B197" s="20" t="s">
        <v>118</v>
      </c>
      <c r="C197" s="20" t="s">
        <v>140</v>
      </c>
      <c r="D197" s="20" t="s">
        <v>868</v>
      </c>
      <c r="E197" s="20" t="s">
        <v>128</v>
      </c>
      <c r="F197" s="6">
        <f>F198</f>
        <v>331.36</v>
      </c>
      <c r="G197" s="389">
        <f>G198</f>
        <v>331.26400000000001</v>
      </c>
      <c r="H197" s="389">
        <f t="shared" si="26"/>
        <v>99.97102848865282</v>
      </c>
    </row>
    <row r="198" spans="1:8" s="191" customFormat="1" ht="31.5" x14ac:dyDescent="0.25">
      <c r="A198" s="396" t="s">
        <v>129</v>
      </c>
      <c r="B198" s="20" t="s">
        <v>118</v>
      </c>
      <c r="C198" s="20" t="s">
        <v>140</v>
      </c>
      <c r="D198" s="20" t="s">
        <v>868</v>
      </c>
      <c r="E198" s="20" t="s">
        <v>130</v>
      </c>
      <c r="F198" s="6">
        <f>'Пр.4 ведом.21'!G152</f>
        <v>331.36</v>
      </c>
      <c r="G198" s="389">
        <f>'Пр.4 ведом.21'!H152</f>
        <v>331.26400000000001</v>
      </c>
      <c r="H198" s="389">
        <f t="shared" si="26"/>
        <v>99.97102848865282</v>
      </c>
    </row>
    <row r="199" spans="1:8" s="387" customFormat="1" ht="31.5" x14ac:dyDescent="0.25">
      <c r="A199" s="396" t="s">
        <v>1677</v>
      </c>
      <c r="B199" s="392" t="s">
        <v>118</v>
      </c>
      <c r="C199" s="392" t="s">
        <v>140</v>
      </c>
      <c r="D199" s="392" t="s">
        <v>1679</v>
      </c>
      <c r="E199" s="392"/>
      <c r="F199" s="389">
        <f>F200</f>
        <v>97.057000000000002</v>
      </c>
      <c r="G199" s="389">
        <f>G200</f>
        <v>97.057000000000002</v>
      </c>
      <c r="H199" s="389">
        <f t="shared" si="26"/>
        <v>100</v>
      </c>
    </row>
    <row r="200" spans="1:8" s="387" customFormat="1" ht="78.75" x14ac:dyDescent="0.25">
      <c r="A200" s="396" t="s">
        <v>127</v>
      </c>
      <c r="B200" s="392" t="s">
        <v>118</v>
      </c>
      <c r="C200" s="392" t="s">
        <v>140</v>
      </c>
      <c r="D200" s="392" t="s">
        <v>1679</v>
      </c>
      <c r="E200" s="392" t="s">
        <v>128</v>
      </c>
      <c r="F200" s="389">
        <f>F201</f>
        <v>97.057000000000002</v>
      </c>
      <c r="G200" s="389">
        <f>G201</f>
        <v>97.057000000000002</v>
      </c>
      <c r="H200" s="389">
        <f t="shared" si="26"/>
        <v>100</v>
      </c>
    </row>
    <row r="201" spans="1:8" s="387" customFormat="1" ht="15.75" x14ac:dyDescent="0.25">
      <c r="A201" s="396" t="s">
        <v>208</v>
      </c>
      <c r="B201" s="392" t="s">
        <v>118</v>
      </c>
      <c r="C201" s="392" t="s">
        <v>140</v>
      </c>
      <c r="D201" s="392" t="s">
        <v>1679</v>
      </c>
      <c r="E201" s="392" t="s">
        <v>209</v>
      </c>
      <c r="F201" s="389">
        <f>'Пр.4 ведом.21'!G155</f>
        <v>97.057000000000002</v>
      </c>
      <c r="G201" s="389">
        <f>'Пр.4 ведом.21'!H155</f>
        <v>97.057000000000002</v>
      </c>
      <c r="H201" s="389">
        <f t="shared" ref="H201:H264" si="31">G201/F201*100</f>
        <v>100</v>
      </c>
    </row>
    <row r="202" spans="1:8" ht="47.25" x14ac:dyDescent="0.25">
      <c r="A202" s="394" t="s">
        <v>1371</v>
      </c>
      <c r="B202" s="7" t="s">
        <v>118</v>
      </c>
      <c r="C202" s="7" t="s">
        <v>140</v>
      </c>
      <c r="D202" s="7" t="s">
        <v>344</v>
      </c>
      <c r="E202" s="7"/>
      <c r="F202" s="4">
        <f>F203</f>
        <v>641.6</v>
      </c>
      <c r="G202" s="388">
        <f>G203</f>
        <v>641.6</v>
      </c>
      <c r="H202" s="492">
        <f t="shared" si="31"/>
        <v>100</v>
      </c>
    </row>
    <row r="203" spans="1:8" ht="78.75" x14ac:dyDescent="0.25">
      <c r="A203" s="400" t="s">
        <v>1347</v>
      </c>
      <c r="B203" s="7" t="s">
        <v>118</v>
      </c>
      <c r="C203" s="7" t="s">
        <v>140</v>
      </c>
      <c r="D203" s="7" t="s">
        <v>359</v>
      </c>
      <c r="E203" s="7"/>
      <c r="F203" s="4">
        <f>F204</f>
        <v>641.6</v>
      </c>
      <c r="G203" s="388">
        <f>G204</f>
        <v>641.6</v>
      </c>
      <c r="H203" s="492">
        <f t="shared" si="31"/>
        <v>100</v>
      </c>
    </row>
    <row r="204" spans="1:8" s="191" customFormat="1" ht="63" x14ac:dyDescent="0.25">
      <c r="A204" s="232" t="s">
        <v>1045</v>
      </c>
      <c r="B204" s="7" t="s">
        <v>118</v>
      </c>
      <c r="C204" s="7" t="s">
        <v>140</v>
      </c>
      <c r="D204" s="7" t="s">
        <v>908</v>
      </c>
      <c r="E204" s="7"/>
      <c r="F204" s="4">
        <f>F205+F208</f>
        <v>641.6</v>
      </c>
      <c r="G204" s="388">
        <f>G205+G208</f>
        <v>641.6</v>
      </c>
      <c r="H204" s="492">
        <f t="shared" si="31"/>
        <v>100</v>
      </c>
    </row>
    <row r="205" spans="1:8" ht="31.5" x14ac:dyDescent="0.25">
      <c r="A205" s="98" t="s">
        <v>1046</v>
      </c>
      <c r="B205" s="40" t="s">
        <v>118</v>
      </c>
      <c r="C205" s="40" t="s">
        <v>140</v>
      </c>
      <c r="D205" s="40" t="s">
        <v>1196</v>
      </c>
      <c r="E205" s="40"/>
      <c r="F205" s="6">
        <f t="shared" ref="F205:G206" si="32">F206</f>
        <v>451</v>
      </c>
      <c r="G205" s="389">
        <f t="shared" si="32"/>
        <v>451</v>
      </c>
      <c r="H205" s="389">
        <f t="shared" si="31"/>
        <v>100</v>
      </c>
    </row>
    <row r="206" spans="1:8" ht="31.5" x14ac:dyDescent="0.25">
      <c r="A206" s="29" t="s">
        <v>131</v>
      </c>
      <c r="B206" s="40" t="s">
        <v>118</v>
      </c>
      <c r="C206" s="40" t="s">
        <v>140</v>
      </c>
      <c r="D206" s="40" t="s">
        <v>1196</v>
      </c>
      <c r="E206" s="40" t="s">
        <v>132</v>
      </c>
      <c r="F206" s="6">
        <f t="shared" si="32"/>
        <v>451</v>
      </c>
      <c r="G206" s="389">
        <f t="shared" si="32"/>
        <v>451</v>
      </c>
      <c r="H206" s="389">
        <f t="shared" si="31"/>
        <v>100</v>
      </c>
    </row>
    <row r="207" spans="1:8" ht="31.5" x14ac:dyDescent="0.25">
      <c r="A207" s="29" t="s">
        <v>133</v>
      </c>
      <c r="B207" s="40" t="s">
        <v>118</v>
      </c>
      <c r="C207" s="40" t="s">
        <v>140</v>
      </c>
      <c r="D207" s="40" t="s">
        <v>1196</v>
      </c>
      <c r="E207" s="40" t="s">
        <v>134</v>
      </c>
      <c r="F207" s="6">
        <f>'Пр.4 ведом.21'!G267</f>
        <v>451</v>
      </c>
      <c r="G207" s="389">
        <f>'Пр.4 ведом.21'!H267</f>
        <v>451</v>
      </c>
      <c r="H207" s="389">
        <f t="shared" si="31"/>
        <v>100</v>
      </c>
    </row>
    <row r="208" spans="1:8" s="377" customFormat="1" ht="31.5" x14ac:dyDescent="0.25">
      <c r="A208" s="45" t="s">
        <v>1546</v>
      </c>
      <c r="B208" s="40" t="s">
        <v>118</v>
      </c>
      <c r="C208" s="40" t="s">
        <v>140</v>
      </c>
      <c r="D208" s="40" t="s">
        <v>1575</v>
      </c>
      <c r="E208" s="40"/>
      <c r="F208" s="378">
        <f>F209</f>
        <v>190.6</v>
      </c>
      <c r="G208" s="389">
        <f>G209</f>
        <v>190.6</v>
      </c>
      <c r="H208" s="389">
        <f t="shared" si="31"/>
        <v>100</v>
      </c>
    </row>
    <row r="209" spans="1:8" s="377" customFormat="1" ht="31.5" x14ac:dyDescent="0.25">
      <c r="A209" s="29" t="s">
        <v>131</v>
      </c>
      <c r="B209" s="40" t="s">
        <v>118</v>
      </c>
      <c r="C209" s="40" t="s">
        <v>140</v>
      </c>
      <c r="D209" s="399" t="s">
        <v>1575</v>
      </c>
      <c r="E209" s="40" t="s">
        <v>132</v>
      </c>
      <c r="F209" s="378">
        <f>F210</f>
        <v>190.6</v>
      </c>
      <c r="G209" s="389">
        <f>G210</f>
        <v>190.6</v>
      </c>
      <c r="H209" s="389">
        <f t="shared" si="31"/>
        <v>100</v>
      </c>
    </row>
    <row r="210" spans="1:8" s="377" customFormat="1" ht="31.5" x14ac:dyDescent="0.25">
      <c r="A210" s="29" t="s">
        <v>133</v>
      </c>
      <c r="B210" s="40" t="s">
        <v>118</v>
      </c>
      <c r="C210" s="40" t="s">
        <v>140</v>
      </c>
      <c r="D210" s="399" t="s">
        <v>1575</v>
      </c>
      <c r="E210" s="40" t="s">
        <v>134</v>
      </c>
      <c r="F210" s="378">
        <f>'Пр.4 ведом.21'!G270</f>
        <v>190.6</v>
      </c>
      <c r="G210" s="389">
        <f>'Пр.4 ведом.21'!H270</f>
        <v>190.6</v>
      </c>
      <c r="H210" s="389">
        <f t="shared" si="31"/>
        <v>100</v>
      </c>
    </row>
    <row r="211" spans="1:8" ht="47.25" hidden="1" x14ac:dyDescent="0.25">
      <c r="A211" s="394" t="s">
        <v>1348</v>
      </c>
      <c r="B211" s="24" t="s">
        <v>118</v>
      </c>
      <c r="C211" s="24" t="s">
        <v>140</v>
      </c>
      <c r="D211" s="24" t="s">
        <v>335</v>
      </c>
      <c r="E211" s="24"/>
      <c r="F211" s="59">
        <f>F212</f>
        <v>20</v>
      </c>
      <c r="G211" s="59">
        <f>G212</f>
        <v>20</v>
      </c>
      <c r="H211" s="389">
        <f t="shared" si="31"/>
        <v>100</v>
      </c>
    </row>
    <row r="212" spans="1:8" ht="31.5" hidden="1" x14ac:dyDescent="0.25">
      <c r="A212" s="394" t="s">
        <v>1050</v>
      </c>
      <c r="B212" s="24" t="s">
        <v>118</v>
      </c>
      <c r="C212" s="24" t="s">
        <v>140</v>
      </c>
      <c r="D212" s="24" t="s">
        <v>1051</v>
      </c>
      <c r="E212" s="24"/>
      <c r="F212" s="59">
        <f>F213+F216+F219+F222+F225</f>
        <v>20</v>
      </c>
      <c r="G212" s="59">
        <f>G213+G216+G219+G222+G225</f>
        <v>20</v>
      </c>
      <c r="H212" s="389">
        <f t="shared" si="31"/>
        <v>100</v>
      </c>
    </row>
    <row r="213" spans="1:8" ht="31.5" hidden="1" x14ac:dyDescent="0.25">
      <c r="A213" s="97" t="s">
        <v>336</v>
      </c>
      <c r="B213" s="20" t="s">
        <v>118</v>
      </c>
      <c r="C213" s="20" t="s">
        <v>140</v>
      </c>
      <c r="D213" s="20" t="s">
        <v>1052</v>
      </c>
      <c r="E213" s="20"/>
      <c r="F213" s="10">
        <f t="shared" ref="F213:G213" si="33">F214</f>
        <v>0</v>
      </c>
      <c r="G213" s="10">
        <f t="shared" si="33"/>
        <v>0</v>
      </c>
      <c r="H213" s="389" t="e">
        <f t="shared" si="31"/>
        <v>#DIV/0!</v>
      </c>
    </row>
    <row r="214" spans="1:8" ht="31.5" hidden="1" x14ac:dyDescent="0.25">
      <c r="A214" s="396" t="s">
        <v>131</v>
      </c>
      <c r="B214" s="20" t="s">
        <v>118</v>
      </c>
      <c r="C214" s="20" t="s">
        <v>140</v>
      </c>
      <c r="D214" s="20" t="s">
        <v>1052</v>
      </c>
      <c r="E214" s="20" t="s">
        <v>132</v>
      </c>
      <c r="F214" s="10">
        <f>F215</f>
        <v>0</v>
      </c>
      <c r="G214" s="10">
        <f>G215</f>
        <v>0</v>
      </c>
      <c r="H214" s="389" t="e">
        <f t="shared" si="31"/>
        <v>#DIV/0!</v>
      </c>
    </row>
    <row r="215" spans="1:8" ht="31.5" hidden="1" x14ac:dyDescent="0.25">
      <c r="A215" s="396" t="s">
        <v>133</v>
      </c>
      <c r="B215" s="20" t="s">
        <v>118</v>
      </c>
      <c r="C215" s="20" t="s">
        <v>140</v>
      </c>
      <c r="D215" s="20" t="s">
        <v>1052</v>
      </c>
      <c r="E215" s="20" t="s">
        <v>134</v>
      </c>
      <c r="F215" s="10">
        <f>'Пр.4 ведом.21'!G628+'Пр.4 ведом.21'!G275+'Пр.4 ведом.21'!G876</f>
        <v>0</v>
      </c>
      <c r="G215" s="10">
        <f>'Пр.4 ведом.21'!H628+'Пр.4 ведом.21'!H275+'Пр.4 ведом.21'!H876</f>
        <v>0</v>
      </c>
      <c r="H215" s="389" t="e">
        <f t="shared" si="31"/>
        <v>#DIV/0!</v>
      </c>
    </row>
    <row r="216" spans="1:8" ht="31.5" x14ac:dyDescent="0.25">
      <c r="A216" s="396" t="s">
        <v>338</v>
      </c>
      <c r="B216" s="20" t="s">
        <v>118</v>
      </c>
      <c r="C216" s="20" t="s">
        <v>140</v>
      </c>
      <c r="D216" s="20" t="s">
        <v>1053</v>
      </c>
      <c r="E216" s="20"/>
      <c r="F216" s="10">
        <f>F217</f>
        <v>20</v>
      </c>
      <c r="G216" s="10">
        <f>G217</f>
        <v>20</v>
      </c>
      <c r="H216" s="389">
        <f t="shared" si="31"/>
        <v>100</v>
      </c>
    </row>
    <row r="217" spans="1:8" ht="31.5" x14ac:dyDescent="0.25">
      <c r="A217" s="396" t="s">
        <v>131</v>
      </c>
      <c r="B217" s="20" t="s">
        <v>118</v>
      </c>
      <c r="C217" s="20" t="s">
        <v>140</v>
      </c>
      <c r="D217" s="20" t="s">
        <v>1053</v>
      </c>
      <c r="E217" s="20" t="s">
        <v>132</v>
      </c>
      <c r="F217" s="10">
        <f>F218</f>
        <v>20</v>
      </c>
      <c r="G217" s="10">
        <f>G218</f>
        <v>20</v>
      </c>
      <c r="H217" s="389">
        <f t="shared" si="31"/>
        <v>100</v>
      </c>
    </row>
    <row r="218" spans="1:8" ht="39.200000000000003" customHeight="1" x14ac:dyDescent="0.25">
      <c r="A218" s="396" t="s">
        <v>133</v>
      </c>
      <c r="B218" s="20" t="s">
        <v>118</v>
      </c>
      <c r="C218" s="20" t="s">
        <v>140</v>
      </c>
      <c r="D218" s="20" t="s">
        <v>1053</v>
      </c>
      <c r="E218" s="20" t="s">
        <v>134</v>
      </c>
      <c r="F218" s="10">
        <f>'Пр.4 ведом.21'!G278</f>
        <v>20</v>
      </c>
      <c r="G218" s="10">
        <f>'Пр.4 ведом.21'!H278</f>
        <v>20</v>
      </c>
      <c r="H218" s="389">
        <f t="shared" si="31"/>
        <v>100</v>
      </c>
    </row>
    <row r="219" spans="1:8" ht="47.25" hidden="1" x14ac:dyDescent="0.25">
      <c r="A219" s="31" t="s">
        <v>771</v>
      </c>
      <c r="B219" s="20" t="s">
        <v>118</v>
      </c>
      <c r="C219" s="20" t="s">
        <v>140</v>
      </c>
      <c r="D219" s="20" t="s">
        <v>1054</v>
      </c>
      <c r="E219" s="20"/>
      <c r="F219" s="10">
        <f t="shared" ref="F219:G219" si="34">F220</f>
        <v>0</v>
      </c>
      <c r="G219" s="10">
        <f t="shared" si="34"/>
        <v>0</v>
      </c>
      <c r="H219" s="389" t="e">
        <f t="shared" si="31"/>
        <v>#DIV/0!</v>
      </c>
    </row>
    <row r="220" spans="1:8" ht="31.5" hidden="1" x14ac:dyDescent="0.25">
      <c r="A220" s="396" t="s">
        <v>131</v>
      </c>
      <c r="B220" s="20" t="s">
        <v>118</v>
      </c>
      <c r="C220" s="20" t="s">
        <v>140</v>
      </c>
      <c r="D220" s="20" t="s">
        <v>1054</v>
      </c>
      <c r="E220" s="20" t="s">
        <v>132</v>
      </c>
      <c r="F220" s="10">
        <f>F221</f>
        <v>0</v>
      </c>
      <c r="G220" s="10">
        <f>G221</f>
        <v>0</v>
      </c>
      <c r="H220" s="389" t="e">
        <f t="shared" si="31"/>
        <v>#DIV/0!</v>
      </c>
    </row>
    <row r="221" spans="1:8" ht="31.5" hidden="1" x14ac:dyDescent="0.25">
      <c r="A221" s="396" t="s">
        <v>133</v>
      </c>
      <c r="B221" s="20" t="s">
        <v>118</v>
      </c>
      <c r="C221" s="20" t="s">
        <v>140</v>
      </c>
      <c r="D221" s="20" t="s">
        <v>1054</v>
      </c>
      <c r="E221" s="20" t="s">
        <v>134</v>
      </c>
      <c r="F221" s="10">
        <f>'Пр.4 ведом.21'!G281</f>
        <v>0</v>
      </c>
      <c r="G221" s="10">
        <f>'Пр.4 ведом.21'!H281</f>
        <v>0</v>
      </c>
      <c r="H221" s="389" t="e">
        <f t="shared" si="31"/>
        <v>#DIV/0!</v>
      </c>
    </row>
    <row r="222" spans="1:8" ht="15.75" hidden="1" x14ac:dyDescent="0.25">
      <c r="A222" s="396" t="s">
        <v>993</v>
      </c>
      <c r="B222" s="20" t="s">
        <v>118</v>
      </c>
      <c r="C222" s="20" t="s">
        <v>140</v>
      </c>
      <c r="D222" s="20" t="s">
        <v>1055</v>
      </c>
      <c r="E222" s="20"/>
      <c r="F222" s="10">
        <f t="shared" ref="F222:G222" si="35">F223</f>
        <v>0</v>
      </c>
      <c r="G222" s="10">
        <f t="shared" si="35"/>
        <v>0</v>
      </c>
      <c r="H222" s="389" t="e">
        <f t="shared" si="31"/>
        <v>#DIV/0!</v>
      </c>
    </row>
    <row r="223" spans="1:8" ht="31.5" hidden="1" x14ac:dyDescent="0.25">
      <c r="A223" s="396" t="s">
        <v>131</v>
      </c>
      <c r="B223" s="20" t="s">
        <v>118</v>
      </c>
      <c r="C223" s="20" t="s">
        <v>140</v>
      </c>
      <c r="D223" s="20" t="s">
        <v>1055</v>
      </c>
      <c r="E223" s="20" t="s">
        <v>132</v>
      </c>
      <c r="F223" s="10">
        <f>F224</f>
        <v>0</v>
      </c>
      <c r="G223" s="10">
        <f>G224</f>
        <v>0</v>
      </c>
      <c r="H223" s="389" t="e">
        <f t="shared" si="31"/>
        <v>#DIV/0!</v>
      </c>
    </row>
    <row r="224" spans="1:8" ht="31.5" hidden="1" x14ac:dyDescent="0.25">
      <c r="A224" s="396" t="s">
        <v>133</v>
      </c>
      <c r="B224" s="20" t="s">
        <v>118</v>
      </c>
      <c r="C224" s="20" t="s">
        <v>140</v>
      </c>
      <c r="D224" s="20" t="s">
        <v>1055</v>
      </c>
      <c r="E224" s="20" t="s">
        <v>134</v>
      </c>
      <c r="F224" s="10">
        <f>'Пр.4 ведом.21'!G284</f>
        <v>0</v>
      </c>
      <c r="G224" s="10">
        <f>'Пр.4 ведом.21'!H284</f>
        <v>0</v>
      </c>
      <c r="H224" s="389" t="e">
        <f t="shared" si="31"/>
        <v>#DIV/0!</v>
      </c>
    </row>
    <row r="225" spans="1:8" ht="31.5" hidden="1" x14ac:dyDescent="0.25">
      <c r="A225" s="31" t="s">
        <v>772</v>
      </c>
      <c r="B225" s="20" t="s">
        <v>118</v>
      </c>
      <c r="C225" s="20" t="s">
        <v>140</v>
      </c>
      <c r="D225" s="20" t="s">
        <v>1056</v>
      </c>
      <c r="E225" s="20"/>
      <c r="F225" s="10">
        <f>F226</f>
        <v>0</v>
      </c>
      <c r="G225" s="10">
        <f>G226</f>
        <v>0</v>
      </c>
      <c r="H225" s="389" t="e">
        <f t="shared" si="31"/>
        <v>#DIV/0!</v>
      </c>
    </row>
    <row r="226" spans="1:8" ht="31.5" hidden="1" x14ac:dyDescent="0.25">
      <c r="A226" s="396" t="s">
        <v>131</v>
      </c>
      <c r="B226" s="20" t="s">
        <v>118</v>
      </c>
      <c r="C226" s="20" t="s">
        <v>140</v>
      </c>
      <c r="D226" s="20" t="s">
        <v>1056</v>
      </c>
      <c r="E226" s="20" t="s">
        <v>132</v>
      </c>
      <c r="F226" s="10">
        <f>F227</f>
        <v>0</v>
      </c>
      <c r="G226" s="10">
        <f>G227</f>
        <v>0</v>
      </c>
      <c r="H226" s="389" t="e">
        <f t="shared" si="31"/>
        <v>#DIV/0!</v>
      </c>
    </row>
    <row r="227" spans="1:8" ht="31.5" hidden="1" x14ac:dyDescent="0.25">
      <c r="A227" s="396" t="s">
        <v>133</v>
      </c>
      <c r="B227" s="20" t="s">
        <v>118</v>
      </c>
      <c r="C227" s="20" t="s">
        <v>140</v>
      </c>
      <c r="D227" s="20" t="s">
        <v>1056</v>
      </c>
      <c r="E227" s="20" t="s">
        <v>134</v>
      </c>
      <c r="F227" s="10">
        <f>'Пр.4 ведом.21'!G287</f>
        <v>0</v>
      </c>
      <c r="G227" s="10">
        <f>'Пр.4 ведом.21'!H287</f>
        <v>0</v>
      </c>
      <c r="H227" s="389" t="e">
        <f t="shared" si="31"/>
        <v>#DIV/0!</v>
      </c>
    </row>
    <row r="228" spans="1:8" ht="47.25" x14ac:dyDescent="0.25">
      <c r="A228" s="400" t="s">
        <v>1351</v>
      </c>
      <c r="B228" s="8" t="s">
        <v>118</v>
      </c>
      <c r="C228" s="8" t="s">
        <v>140</v>
      </c>
      <c r="D228" s="24" t="s">
        <v>705</v>
      </c>
      <c r="E228" s="206"/>
      <c r="F228" s="59">
        <f>F229+F233</f>
        <v>20.2</v>
      </c>
      <c r="G228" s="59">
        <f>G229+G233</f>
        <v>20.177</v>
      </c>
      <c r="H228" s="492">
        <f t="shared" si="31"/>
        <v>99.886138613861391</v>
      </c>
    </row>
    <row r="229" spans="1:8" s="191" customFormat="1" ht="47.25" x14ac:dyDescent="0.25">
      <c r="A229" s="195" t="s">
        <v>845</v>
      </c>
      <c r="B229" s="24" t="s">
        <v>118</v>
      </c>
      <c r="C229" s="24" t="s">
        <v>140</v>
      </c>
      <c r="D229" s="24" t="s">
        <v>851</v>
      </c>
      <c r="E229" s="24"/>
      <c r="F229" s="59">
        <f>F230</f>
        <v>5.2</v>
      </c>
      <c r="G229" s="59">
        <f>G230</f>
        <v>5.1769999999999996</v>
      </c>
      <c r="H229" s="492">
        <f t="shared" si="31"/>
        <v>99.557692307692292</v>
      </c>
    </row>
    <row r="230" spans="1:8" ht="39.75" customHeight="1" x14ac:dyDescent="0.25">
      <c r="A230" s="98" t="s">
        <v>776</v>
      </c>
      <c r="B230" s="20" t="s">
        <v>118</v>
      </c>
      <c r="C230" s="20" t="s">
        <v>140</v>
      </c>
      <c r="D230" s="20" t="s">
        <v>846</v>
      </c>
      <c r="E230" s="20"/>
      <c r="F230" s="10">
        <f t="shared" ref="F230:G231" si="36">F231</f>
        <v>5.2</v>
      </c>
      <c r="G230" s="10">
        <f t="shared" si="36"/>
        <v>5.1769999999999996</v>
      </c>
      <c r="H230" s="389">
        <f t="shared" si="31"/>
        <v>99.557692307692292</v>
      </c>
    </row>
    <row r="231" spans="1:8" ht="31.5" x14ac:dyDescent="0.25">
      <c r="A231" s="396" t="s">
        <v>131</v>
      </c>
      <c r="B231" s="20" t="s">
        <v>118</v>
      </c>
      <c r="C231" s="20" t="s">
        <v>140</v>
      </c>
      <c r="D231" s="20" t="s">
        <v>846</v>
      </c>
      <c r="E231" s="20" t="s">
        <v>132</v>
      </c>
      <c r="F231" s="10">
        <f t="shared" si="36"/>
        <v>5.2</v>
      </c>
      <c r="G231" s="10">
        <f t="shared" si="36"/>
        <v>5.1769999999999996</v>
      </c>
      <c r="H231" s="389">
        <f t="shared" si="31"/>
        <v>99.557692307692292</v>
      </c>
    </row>
    <row r="232" spans="1:8" ht="31.5" x14ac:dyDescent="0.25">
      <c r="A232" s="396" t="s">
        <v>133</v>
      </c>
      <c r="B232" s="20" t="s">
        <v>118</v>
      </c>
      <c r="C232" s="20" t="s">
        <v>140</v>
      </c>
      <c r="D232" s="20" t="s">
        <v>846</v>
      </c>
      <c r="E232" s="20" t="s">
        <v>134</v>
      </c>
      <c r="F232" s="10">
        <f>'Пр.4 ведом.21'!G292+'Пр.4 ведом.21'!G160</f>
        <v>5.2</v>
      </c>
      <c r="G232" s="10">
        <f>'Пр.4 ведом.21'!H292+'Пр.4 ведом.21'!H160</f>
        <v>5.1769999999999996</v>
      </c>
      <c r="H232" s="389">
        <f t="shared" si="31"/>
        <v>99.557692307692292</v>
      </c>
    </row>
    <row r="233" spans="1:8" s="191" customFormat="1" ht="31.5" x14ac:dyDescent="0.25">
      <c r="A233" s="402" t="s">
        <v>1022</v>
      </c>
      <c r="B233" s="24" t="s">
        <v>118</v>
      </c>
      <c r="C233" s="24" t="s">
        <v>140</v>
      </c>
      <c r="D233" s="24" t="s">
        <v>852</v>
      </c>
      <c r="E233" s="206"/>
      <c r="F233" s="59">
        <f>F234</f>
        <v>15</v>
      </c>
      <c r="G233" s="59">
        <f>G234</f>
        <v>15</v>
      </c>
      <c r="H233" s="492">
        <f t="shared" si="31"/>
        <v>100</v>
      </c>
    </row>
    <row r="234" spans="1:8" ht="33" customHeight="1" x14ac:dyDescent="0.25">
      <c r="A234" s="98" t="s">
        <v>777</v>
      </c>
      <c r="B234" s="20" t="s">
        <v>118</v>
      </c>
      <c r="C234" s="20" t="s">
        <v>140</v>
      </c>
      <c r="D234" s="20" t="s">
        <v>847</v>
      </c>
      <c r="E234" s="32"/>
      <c r="F234" s="10">
        <f t="shared" ref="F234:G235" si="37">F235</f>
        <v>15</v>
      </c>
      <c r="G234" s="10">
        <f t="shared" si="37"/>
        <v>15</v>
      </c>
      <c r="H234" s="389">
        <f t="shared" si="31"/>
        <v>100</v>
      </c>
    </row>
    <row r="235" spans="1:8" ht="31.7" customHeight="1" x14ac:dyDescent="0.25">
      <c r="A235" s="396" t="s">
        <v>131</v>
      </c>
      <c r="B235" s="20" t="s">
        <v>118</v>
      </c>
      <c r="C235" s="20" t="s">
        <v>140</v>
      </c>
      <c r="D235" s="20" t="s">
        <v>847</v>
      </c>
      <c r="E235" s="32" t="s">
        <v>132</v>
      </c>
      <c r="F235" s="10">
        <f t="shared" si="37"/>
        <v>15</v>
      </c>
      <c r="G235" s="10">
        <f t="shared" si="37"/>
        <v>15</v>
      </c>
      <c r="H235" s="389">
        <f t="shared" si="31"/>
        <v>100</v>
      </c>
    </row>
    <row r="236" spans="1:8" ht="40.700000000000003" customHeight="1" x14ac:dyDescent="0.25">
      <c r="A236" s="396" t="s">
        <v>133</v>
      </c>
      <c r="B236" s="20" t="s">
        <v>118</v>
      </c>
      <c r="C236" s="20" t="s">
        <v>140</v>
      </c>
      <c r="D236" s="20" t="s">
        <v>847</v>
      </c>
      <c r="E236" s="32" t="s">
        <v>134</v>
      </c>
      <c r="F236" s="10">
        <f>'Пр.4 ведом.21'!G164</f>
        <v>15</v>
      </c>
      <c r="G236" s="10">
        <f>'Пр.4 ведом.21'!H164</f>
        <v>15</v>
      </c>
      <c r="H236" s="389">
        <f t="shared" si="31"/>
        <v>100</v>
      </c>
    </row>
    <row r="237" spans="1:8" ht="63" x14ac:dyDescent="0.25">
      <c r="A237" s="201" t="s">
        <v>1512</v>
      </c>
      <c r="B237" s="24" t="s">
        <v>118</v>
      </c>
      <c r="C237" s="24" t="s">
        <v>140</v>
      </c>
      <c r="D237" s="24" t="s">
        <v>782</v>
      </c>
      <c r="E237" s="206"/>
      <c r="F237" s="59">
        <f>F239</f>
        <v>652.7600000000001</v>
      </c>
      <c r="G237" s="59">
        <f>G239</f>
        <v>0</v>
      </c>
      <c r="H237" s="492">
        <f t="shared" si="31"/>
        <v>0</v>
      </c>
    </row>
    <row r="238" spans="1:8" s="191" customFormat="1" ht="31.5" x14ac:dyDescent="0.25">
      <c r="A238" s="394" t="s">
        <v>929</v>
      </c>
      <c r="B238" s="24" t="s">
        <v>118</v>
      </c>
      <c r="C238" s="24" t="s">
        <v>140</v>
      </c>
      <c r="D238" s="24" t="s">
        <v>1019</v>
      </c>
      <c r="E238" s="206"/>
      <c r="F238" s="59">
        <f t="shared" ref="F238:G240" si="38">F239</f>
        <v>652.7600000000001</v>
      </c>
      <c r="G238" s="59">
        <f t="shared" si="38"/>
        <v>0</v>
      </c>
      <c r="H238" s="492">
        <f t="shared" si="31"/>
        <v>0</v>
      </c>
    </row>
    <row r="239" spans="1:8" ht="31.5" x14ac:dyDescent="0.25">
      <c r="A239" s="180" t="s">
        <v>790</v>
      </c>
      <c r="B239" s="20" t="s">
        <v>118</v>
      </c>
      <c r="C239" s="20" t="s">
        <v>140</v>
      </c>
      <c r="D239" s="20" t="s">
        <v>1020</v>
      </c>
      <c r="E239" s="32"/>
      <c r="F239" s="10">
        <f t="shared" si="38"/>
        <v>652.7600000000001</v>
      </c>
      <c r="G239" s="10">
        <f t="shared" si="38"/>
        <v>0</v>
      </c>
      <c r="H239" s="389">
        <f t="shared" si="31"/>
        <v>0</v>
      </c>
    </row>
    <row r="240" spans="1:8" ht="31.5" x14ac:dyDescent="0.25">
      <c r="A240" s="180" t="s">
        <v>131</v>
      </c>
      <c r="B240" s="20" t="s">
        <v>118</v>
      </c>
      <c r="C240" s="20" t="s">
        <v>140</v>
      </c>
      <c r="D240" s="20" t="s">
        <v>1020</v>
      </c>
      <c r="E240" s="32" t="s">
        <v>132</v>
      </c>
      <c r="F240" s="10">
        <f t="shared" si="38"/>
        <v>652.7600000000001</v>
      </c>
      <c r="G240" s="10">
        <f t="shared" si="38"/>
        <v>0</v>
      </c>
      <c r="H240" s="389">
        <f t="shared" si="31"/>
        <v>0</v>
      </c>
    </row>
    <row r="241" spans="1:8" ht="31.5" x14ac:dyDescent="0.25">
      <c r="A241" s="180" t="s">
        <v>133</v>
      </c>
      <c r="B241" s="20" t="s">
        <v>118</v>
      </c>
      <c r="C241" s="20" t="s">
        <v>140</v>
      </c>
      <c r="D241" s="20" t="s">
        <v>1020</v>
      </c>
      <c r="E241" s="32" t="s">
        <v>134</v>
      </c>
      <c r="F241" s="10">
        <f>'Пр.4 ведом.21'!G604</f>
        <v>652.7600000000001</v>
      </c>
      <c r="G241" s="10">
        <f>'Пр.4 ведом.21'!H604</f>
        <v>0</v>
      </c>
      <c r="H241" s="389">
        <f t="shared" si="31"/>
        <v>0</v>
      </c>
    </row>
    <row r="242" spans="1:8" ht="78.75" hidden="1" x14ac:dyDescent="0.25">
      <c r="A242" s="400" t="s">
        <v>1372</v>
      </c>
      <c r="B242" s="8" t="s">
        <v>118</v>
      </c>
      <c r="C242" s="8" t="s">
        <v>140</v>
      </c>
      <c r="D242" s="308" t="s">
        <v>816</v>
      </c>
      <c r="E242" s="8"/>
      <c r="F242" s="59">
        <f t="shared" ref="F242:G245" si="39">F243</f>
        <v>0</v>
      </c>
      <c r="G242" s="59">
        <f t="shared" si="39"/>
        <v>0</v>
      </c>
      <c r="H242" s="389" t="e">
        <f t="shared" si="31"/>
        <v>#DIV/0!</v>
      </c>
    </row>
    <row r="243" spans="1:8" s="191" customFormat="1" ht="47.25" hidden="1" x14ac:dyDescent="0.25">
      <c r="A243" s="197" t="s">
        <v>853</v>
      </c>
      <c r="B243" s="8" t="s">
        <v>118</v>
      </c>
      <c r="C243" s="8" t="s">
        <v>140</v>
      </c>
      <c r="D243" s="187" t="s">
        <v>1076</v>
      </c>
      <c r="E243" s="8"/>
      <c r="F243" s="59">
        <f t="shared" si="39"/>
        <v>0</v>
      </c>
      <c r="G243" s="59">
        <f t="shared" si="39"/>
        <v>0</v>
      </c>
      <c r="H243" s="389" t="e">
        <f t="shared" si="31"/>
        <v>#DIV/0!</v>
      </c>
    </row>
    <row r="244" spans="1:8" ht="31.5" hidden="1" x14ac:dyDescent="0.25">
      <c r="A244" s="97" t="s">
        <v>171</v>
      </c>
      <c r="B244" s="9" t="s">
        <v>118</v>
      </c>
      <c r="C244" s="9" t="s">
        <v>140</v>
      </c>
      <c r="D244" s="5" t="s">
        <v>854</v>
      </c>
      <c r="E244" s="9"/>
      <c r="F244" s="10">
        <f t="shared" si="39"/>
        <v>0</v>
      </c>
      <c r="G244" s="10">
        <f t="shared" si="39"/>
        <v>0</v>
      </c>
      <c r="H244" s="389" t="e">
        <f t="shared" si="31"/>
        <v>#DIV/0!</v>
      </c>
    </row>
    <row r="245" spans="1:8" ht="31.5" hidden="1" x14ac:dyDescent="0.25">
      <c r="A245" s="396" t="s">
        <v>131</v>
      </c>
      <c r="B245" s="9" t="s">
        <v>118</v>
      </c>
      <c r="C245" s="9" t="s">
        <v>140</v>
      </c>
      <c r="D245" s="5" t="s">
        <v>854</v>
      </c>
      <c r="E245" s="9" t="s">
        <v>132</v>
      </c>
      <c r="F245" s="10">
        <f t="shared" si="39"/>
        <v>0</v>
      </c>
      <c r="G245" s="10">
        <f t="shared" si="39"/>
        <v>0</v>
      </c>
      <c r="H245" s="389" t="e">
        <f t="shared" si="31"/>
        <v>#DIV/0!</v>
      </c>
    </row>
    <row r="246" spans="1:8" ht="31.5" hidden="1" x14ac:dyDescent="0.25">
      <c r="A246" s="396" t="s">
        <v>133</v>
      </c>
      <c r="B246" s="9" t="s">
        <v>118</v>
      </c>
      <c r="C246" s="9" t="s">
        <v>140</v>
      </c>
      <c r="D246" s="5" t="s">
        <v>854</v>
      </c>
      <c r="E246" s="9" t="s">
        <v>134</v>
      </c>
      <c r="F246" s="10">
        <f>'Пр.4 ведом.21'!G169</f>
        <v>0</v>
      </c>
      <c r="G246" s="10">
        <f>'Пр.4 ведом.21'!H169</f>
        <v>0</v>
      </c>
      <c r="H246" s="389" t="e">
        <f t="shared" si="31"/>
        <v>#DIV/0!</v>
      </c>
    </row>
    <row r="247" spans="1:8" ht="63" x14ac:dyDescent="0.25">
      <c r="A247" s="400" t="s">
        <v>1565</v>
      </c>
      <c r="B247" s="8" t="s">
        <v>118</v>
      </c>
      <c r="C247" s="8" t="s">
        <v>140</v>
      </c>
      <c r="D247" s="187" t="s">
        <v>817</v>
      </c>
      <c r="E247" s="8"/>
      <c r="F247" s="4">
        <f>F248</f>
        <v>44.16</v>
      </c>
      <c r="G247" s="388">
        <f>G248</f>
        <v>44.16</v>
      </c>
      <c r="H247" s="492">
        <f t="shared" si="31"/>
        <v>100</v>
      </c>
    </row>
    <row r="248" spans="1:8" ht="31.5" x14ac:dyDescent="0.25">
      <c r="A248" s="58" t="s">
        <v>855</v>
      </c>
      <c r="B248" s="8" t="s">
        <v>118</v>
      </c>
      <c r="C248" s="8" t="s">
        <v>140</v>
      </c>
      <c r="D248" s="187" t="s">
        <v>863</v>
      </c>
      <c r="E248" s="8"/>
      <c r="F248" s="4">
        <f t="shared" ref="F248:G249" si="40">F249</f>
        <v>44.16</v>
      </c>
      <c r="G248" s="388">
        <f t="shared" si="40"/>
        <v>44.16</v>
      </c>
      <c r="H248" s="492">
        <f t="shared" si="31"/>
        <v>100</v>
      </c>
    </row>
    <row r="249" spans="1:8" ht="15.75" x14ac:dyDescent="0.25">
      <c r="A249" s="45" t="s">
        <v>821</v>
      </c>
      <c r="B249" s="9" t="s">
        <v>118</v>
      </c>
      <c r="C249" s="9" t="s">
        <v>140</v>
      </c>
      <c r="D249" s="5" t="s">
        <v>856</v>
      </c>
      <c r="E249" s="9"/>
      <c r="F249" s="331">
        <f t="shared" si="40"/>
        <v>44.16</v>
      </c>
      <c r="G249" s="331">
        <f t="shared" si="40"/>
        <v>44.16</v>
      </c>
      <c r="H249" s="389">
        <f t="shared" si="31"/>
        <v>100</v>
      </c>
    </row>
    <row r="250" spans="1:8" ht="39.75" customHeight="1" x14ac:dyDescent="0.25">
      <c r="A250" s="396" t="s">
        <v>131</v>
      </c>
      <c r="B250" s="9" t="s">
        <v>118</v>
      </c>
      <c r="C250" s="9" t="s">
        <v>140</v>
      </c>
      <c r="D250" s="5" t="s">
        <v>856</v>
      </c>
      <c r="E250" s="9" t="s">
        <v>132</v>
      </c>
      <c r="F250" s="331">
        <f>F251</f>
        <v>44.16</v>
      </c>
      <c r="G250" s="331">
        <f>G251</f>
        <v>44.16</v>
      </c>
      <c r="H250" s="389">
        <f t="shared" si="31"/>
        <v>100</v>
      </c>
    </row>
    <row r="251" spans="1:8" ht="31.5" x14ac:dyDescent="0.25">
      <c r="A251" s="396" t="s">
        <v>133</v>
      </c>
      <c r="B251" s="9" t="s">
        <v>118</v>
      </c>
      <c r="C251" s="9" t="s">
        <v>140</v>
      </c>
      <c r="D251" s="5" t="s">
        <v>856</v>
      </c>
      <c r="E251" s="9" t="s">
        <v>134</v>
      </c>
      <c r="F251" s="6">
        <f>'Пр.4 ведом.21'!G174+'Пр.4 ведом.21'!G297</f>
        <v>44.16</v>
      </c>
      <c r="G251" s="389">
        <f>'Пр.4 ведом.21'!H174+'Пр.4 ведом.21'!H297</f>
        <v>44.16</v>
      </c>
      <c r="H251" s="389">
        <f t="shared" si="31"/>
        <v>100</v>
      </c>
    </row>
    <row r="252" spans="1:8" s="191" customFormat="1" ht="15.75" hidden="1" x14ac:dyDescent="0.25">
      <c r="A252" s="394" t="s">
        <v>212</v>
      </c>
      <c r="B252" s="24" t="s">
        <v>213</v>
      </c>
      <c r="C252" s="24"/>
      <c r="D252" s="24"/>
      <c r="E252" s="24"/>
      <c r="F252" s="4">
        <f t="shared" ref="F252:G257" si="41">F253</f>
        <v>0</v>
      </c>
      <c r="G252" s="388">
        <f t="shared" si="41"/>
        <v>0</v>
      </c>
      <c r="H252" s="389" t="e">
        <f t="shared" si="31"/>
        <v>#DIV/0!</v>
      </c>
    </row>
    <row r="253" spans="1:8" s="191" customFormat="1" ht="19.5" hidden="1" customHeight="1" x14ac:dyDescent="0.25">
      <c r="A253" s="394" t="s">
        <v>218</v>
      </c>
      <c r="B253" s="24" t="s">
        <v>213</v>
      </c>
      <c r="C253" s="24" t="s">
        <v>219</v>
      </c>
      <c r="D253" s="24"/>
      <c r="E253" s="24"/>
      <c r="F253" s="4">
        <f t="shared" si="41"/>
        <v>0</v>
      </c>
      <c r="G253" s="388">
        <f t="shared" si="41"/>
        <v>0</v>
      </c>
      <c r="H253" s="389" t="e">
        <f t="shared" si="31"/>
        <v>#DIV/0!</v>
      </c>
    </row>
    <row r="254" spans="1:8" s="191" customFormat="1" ht="15.75" hidden="1" x14ac:dyDescent="0.25">
      <c r="A254" s="394" t="s">
        <v>141</v>
      </c>
      <c r="B254" s="24" t="s">
        <v>213</v>
      </c>
      <c r="C254" s="24" t="s">
        <v>219</v>
      </c>
      <c r="D254" s="24" t="s">
        <v>865</v>
      </c>
      <c r="E254" s="24"/>
      <c r="F254" s="4">
        <f t="shared" si="41"/>
        <v>0</v>
      </c>
      <c r="G254" s="388">
        <f t="shared" si="41"/>
        <v>0</v>
      </c>
      <c r="H254" s="389" t="e">
        <f t="shared" si="31"/>
        <v>#DIV/0!</v>
      </c>
    </row>
    <row r="255" spans="1:8" s="191" customFormat="1" ht="31.5" hidden="1" x14ac:dyDescent="0.25">
      <c r="A255" s="394" t="s">
        <v>869</v>
      </c>
      <c r="B255" s="24" t="s">
        <v>213</v>
      </c>
      <c r="C255" s="24" t="s">
        <v>219</v>
      </c>
      <c r="D255" s="24" t="s">
        <v>864</v>
      </c>
      <c r="E255" s="24"/>
      <c r="F255" s="4">
        <f t="shared" si="41"/>
        <v>0</v>
      </c>
      <c r="G255" s="388">
        <f t="shared" si="41"/>
        <v>0</v>
      </c>
      <c r="H255" s="389" t="e">
        <f t="shared" si="31"/>
        <v>#DIV/0!</v>
      </c>
    </row>
    <row r="256" spans="1:8" s="191" customFormat="1" ht="15.75" hidden="1" x14ac:dyDescent="0.25">
      <c r="A256" s="396" t="s">
        <v>220</v>
      </c>
      <c r="B256" s="20" t="s">
        <v>213</v>
      </c>
      <c r="C256" s="20" t="s">
        <v>219</v>
      </c>
      <c r="D256" s="20" t="s">
        <v>870</v>
      </c>
      <c r="E256" s="20"/>
      <c r="F256" s="6">
        <f t="shared" si="41"/>
        <v>0</v>
      </c>
      <c r="G256" s="389">
        <f t="shared" si="41"/>
        <v>0</v>
      </c>
      <c r="H256" s="389" t="e">
        <f t="shared" si="31"/>
        <v>#DIV/0!</v>
      </c>
    </row>
    <row r="257" spans="1:8" s="191" customFormat="1" ht="31.5" hidden="1" x14ac:dyDescent="0.25">
      <c r="A257" s="396" t="s">
        <v>198</v>
      </c>
      <c r="B257" s="20" t="s">
        <v>213</v>
      </c>
      <c r="C257" s="20" t="s">
        <v>219</v>
      </c>
      <c r="D257" s="20" t="s">
        <v>870</v>
      </c>
      <c r="E257" s="20" t="s">
        <v>132</v>
      </c>
      <c r="F257" s="6">
        <f t="shared" si="41"/>
        <v>0</v>
      </c>
      <c r="G257" s="389">
        <f t="shared" si="41"/>
        <v>0</v>
      </c>
      <c r="H257" s="389" t="e">
        <f t="shared" si="31"/>
        <v>#DIV/0!</v>
      </c>
    </row>
    <row r="258" spans="1:8" s="191" customFormat="1" ht="31.5" hidden="1" x14ac:dyDescent="0.25">
      <c r="A258" s="396" t="s">
        <v>133</v>
      </c>
      <c r="B258" s="20" t="s">
        <v>213</v>
      </c>
      <c r="C258" s="20" t="s">
        <v>219</v>
      </c>
      <c r="D258" s="20" t="s">
        <v>870</v>
      </c>
      <c r="E258" s="20" t="s">
        <v>134</v>
      </c>
      <c r="F258" s="6">
        <f>'Пр.4 ведом.21'!G181</f>
        <v>0</v>
      </c>
      <c r="G258" s="389">
        <f>'Пр.4 ведом.21'!H181</f>
        <v>0</v>
      </c>
      <c r="H258" s="389" t="e">
        <f t="shared" si="31"/>
        <v>#DIV/0!</v>
      </c>
    </row>
    <row r="259" spans="1:8" ht="31.5" x14ac:dyDescent="0.25">
      <c r="A259" s="394" t="s">
        <v>222</v>
      </c>
      <c r="B259" s="24" t="s">
        <v>215</v>
      </c>
      <c r="C259" s="24"/>
      <c r="D259" s="24"/>
      <c r="E259" s="24"/>
      <c r="F259" s="4">
        <f t="shared" ref="F259:G259" si="42">F260</f>
        <v>7435.9079100000008</v>
      </c>
      <c r="G259" s="388">
        <f t="shared" si="42"/>
        <v>7330.0119999999997</v>
      </c>
      <c r="H259" s="492">
        <f t="shared" si="31"/>
        <v>98.575884595644467</v>
      </c>
    </row>
    <row r="260" spans="1:8" ht="47.25" x14ac:dyDescent="0.25">
      <c r="A260" s="394" t="s">
        <v>1344</v>
      </c>
      <c r="B260" s="24" t="s">
        <v>215</v>
      </c>
      <c r="C260" s="24" t="s">
        <v>244</v>
      </c>
      <c r="D260" s="20"/>
      <c r="E260" s="20"/>
      <c r="F260" s="4">
        <f>F261+F282</f>
        <v>7435.9079100000008</v>
      </c>
      <c r="G260" s="388">
        <f>G261+G282</f>
        <v>7330.0119999999997</v>
      </c>
      <c r="H260" s="492">
        <f t="shared" si="31"/>
        <v>98.575884595644467</v>
      </c>
    </row>
    <row r="261" spans="1:8" ht="15.75" x14ac:dyDescent="0.25">
      <c r="A261" s="394" t="s">
        <v>141</v>
      </c>
      <c r="B261" s="24" t="s">
        <v>215</v>
      </c>
      <c r="C261" s="24" t="s">
        <v>244</v>
      </c>
      <c r="D261" s="24" t="s">
        <v>865</v>
      </c>
      <c r="E261" s="24"/>
      <c r="F261" s="4">
        <f>F262+F269</f>
        <v>6835.9079100000008</v>
      </c>
      <c r="G261" s="388">
        <f>G262+G269</f>
        <v>6823.6970000000001</v>
      </c>
      <c r="H261" s="492">
        <f t="shared" si="31"/>
        <v>99.82137105764491</v>
      </c>
    </row>
    <row r="262" spans="1:8" ht="31.5" x14ac:dyDescent="0.25">
      <c r="A262" s="394" t="s">
        <v>869</v>
      </c>
      <c r="B262" s="24" t="s">
        <v>215</v>
      </c>
      <c r="C262" s="24" t="s">
        <v>244</v>
      </c>
      <c r="D262" s="24" t="s">
        <v>864</v>
      </c>
      <c r="E262" s="24"/>
      <c r="F262" s="4">
        <f>F263+F266</f>
        <v>326.56081</v>
      </c>
      <c r="G262" s="388">
        <f>G263+G266</f>
        <v>314.61799999999999</v>
      </c>
      <c r="H262" s="492">
        <f t="shared" si="31"/>
        <v>96.342852652772379</v>
      </c>
    </row>
    <row r="263" spans="1:8" ht="47.25" x14ac:dyDescent="0.25">
      <c r="A263" s="396" t="s">
        <v>224</v>
      </c>
      <c r="B263" s="20" t="s">
        <v>215</v>
      </c>
      <c r="C263" s="20" t="s">
        <v>244</v>
      </c>
      <c r="D263" s="20" t="s">
        <v>874</v>
      </c>
      <c r="E263" s="20"/>
      <c r="F263" s="6">
        <f t="shared" ref="F263:G264" si="43">F264</f>
        <v>279</v>
      </c>
      <c r="G263" s="389">
        <f t="shared" si="43"/>
        <v>267.05799999999999</v>
      </c>
      <c r="H263" s="389">
        <f t="shared" si="31"/>
        <v>95.719713261648735</v>
      </c>
    </row>
    <row r="264" spans="1:8" ht="31.5" x14ac:dyDescent="0.25">
      <c r="A264" s="396" t="s">
        <v>198</v>
      </c>
      <c r="B264" s="20" t="s">
        <v>215</v>
      </c>
      <c r="C264" s="20" t="s">
        <v>244</v>
      </c>
      <c r="D264" s="20" t="s">
        <v>874</v>
      </c>
      <c r="E264" s="20" t="s">
        <v>132</v>
      </c>
      <c r="F264" s="6">
        <f t="shared" si="43"/>
        <v>279</v>
      </c>
      <c r="G264" s="389">
        <f t="shared" si="43"/>
        <v>267.05799999999999</v>
      </c>
      <c r="H264" s="389">
        <f t="shared" si="31"/>
        <v>95.719713261648735</v>
      </c>
    </row>
    <row r="265" spans="1:8" ht="31.5" x14ac:dyDescent="0.25">
      <c r="A265" s="396" t="s">
        <v>133</v>
      </c>
      <c r="B265" s="20" t="s">
        <v>215</v>
      </c>
      <c r="C265" s="20" t="s">
        <v>244</v>
      </c>
      <c r="D265" s="20" t="s">
        <v>874</v>
      </c>
      <c r="E265" s="20" t="s">
        <v>134</v>
      </c>
      <c r="F265" s="334">
        <f>'Пр.4 ведом.21'!G188</f>
        <v>279</v>
      </c>
      <c r="G265" s="334">
        <f>'Пр.4 ведом.21'!H188</f>
        <v>267.05799999999999</v>
      </c>
      <c r="H265" s="389">
        <f t="shared" ref="H265:H328" si="44">G265/F265*100</f>
        <v>95.719713261648735</v>
      </c>
    </row>
    <row r="266" spans="1:8" ht="15.75" x14ac:dyDescent="0.25">
      <c r="A266" s="396" t="s">
        <v>230</v>
      </c>
      <c r="B266" s="20" t="s">
        <v>215</v>
      </c>
      <c r="C266" s="20" t="s">
        <v>244</v>
      </c>
      <c r="D266" s="20" t="s">
        <v>875</v>
      </c>
      <c r="E266" s="20"/>
      <c r="F266" s="334">
        <f t="shared" ref="F266:G267" si="45">F267</f>
        <v>47.560810000000004</v>
      </c>
      <c r="G266" s="334">
        <f t="shared" si="45"/>
        <v>47.56</v>
      </c>
      <c r="H266" s="389">
        <f t="shared" si="44"/>
        <v>99.998296917146703</v>
      </c>
    </row>
    <row r="267" spans="1:8" ht="31.5" x14ac:dyDescent="0.25">
      <c r="A267" s="396" t="s">
        <v>198</v>
      </c>
      <c r="B267" s="20" t="s">
        <v>215</v>
      </c>
      <c r="C267" s="20" t="s">
        <v>244</v>
      </c>
      <c r="D267" s="20" t="s">
        <v>875</v>
      </c>
      <c r="E267" s="20" t="s">
        <v>132</v>
      </c>
      <c r="F267" s="334">
        <f t="shared" si="45"/>
        <v>47.560810000000004</v>
      </c>
      <c r="G267" s="334">
        <f t="shared" si="45"/>
        <v>47.56</v>
      </c>
      <c r="H267" s="389">
        <f t="shared" si="44"/>
        <v>99.998296917146703</v>
      </c>
    </row>
    <row r="268" spans="1:8" ht="31.5" x14ac:dyDescent="0.25">
      <c r="A268" s="396" t="s">
        <v>133</v>
      </c>
      <c r="B268" s="20" t="s">
        <v>215</v>
      </c>
      <c r="C268" s="20" t="s">
        <v>244</v>
      </c>
      <c r="D268" s="20" t="s">
        <v>875</v>
      </c>
      <c r="E268" s="20" t="s">
        <v>134</v>
      </c>
      <c r="F268" s="334">
        <f>'Пр.4 ведом.21'!G191+'Пр.4 ведом.21'!G985</f>
        <v>47.560810000000004</v>
      </c>
      <c r="G268" s="334">
        <f>'Пр.4 ведом.21'!H191+'Пр.4 ведом.21'!H985</f>
        <v>47.56</v>
      </c>
      <c r="H268" s="389">
        <f t="shared" si="44"/>
        <v>99.998296917146703</v>
      </c>
    </row>
    <row r="269" spans="1:8" ht="31.5" x14ac:dyDescent="0.25">
      <c r="A269" s="394" t="s">
        <v>922</v>
      </c>
      <c r="B269" s="24" t="s">
        <v>215</v>
      </c>
      <c r="C269" s="24" t="s">
        <v>244</v>
      </c>
      <c r="D269" s="24" t="s">
        <v>871</v>
      </c>
      <c r="E269" s="24"/>
      <c r="F269" s="4">
        <f>F270+F275+F278</f>
        <v>6509.3471000000009</v>
      </c>
      <c r="G269" s="388">
        <f>G270+G275+G278</f>
        <v>6509.0789999999997</v>
      </c>
      <c r="H269" s="492">
        <f t="shared" si="44"/>
        <v>99.995881307358744</v>
      </c>
    </row>
    <row r="270" spans="1:8" ht="31.5" x14ac:dyDescent="0.25">
      <c r="A270" s="396" t="s">
        <v>926</v>
      </c>
      <c r="B270" s="20" t="s">
        <v>215</v>
      </c>
      <c r="C270" s="20" t="s">
        <v>244</v>
      </c>
      <c r="D270" s="20" t="s">
        <v>872</v>
      </c>
      <c r="E270" s="20"/>
      <c r="F270" s="331">
        <f>F271+F273</f>
        <v>6041.9500000000007</v>
      </c>
      <c r="G270" s="331">
        <f>G271+G273</f>
        <v>6041.683</v>
      </c>
      <c r="H270" s="389">
        <f t="shared" si="44"/>
        <v>99.995580896895859</v>
      </c>
    </row>
    <row r="271" spans="1:8" ht="78.75" x14ac:dyDescent="0.25">
      <c r="A271" s="396" t="s">
        <v>127</v>
      </c>
      <c r="B271" s="20" t="s">
        <v>215</v>
      </c>
      <c r="C271" s="20" t="s">
        <v>244</v>
      </c>
      <c r="D271" s="20" t="s">
        <v>872</v>
      </c>
      <c r="E271" s="20" t="s">
        <v>128</v>
      </c>
      <c r="F271" s="331">
        <f>'Пр.4 ведом.21'!G195</f>
        <v>5857.2000000000007</v>
      </c>
      <c r="G271" s="331">
        <f>'Пр.4 ведом.21'!H195</f>
        <v>5856.9369999999999</v>
      </c>
      <c r="H271" s="389">
        <f t="shared" si="44"/>
        <v>99.995509799904383</v>
      </c>
    </row>
    <row r="272" spans="1:8" ht="15.75" x14ac:dyDescent="0.25">
      <c r="A272" s="396" t="s">
        <v>208</v>
      </c>
      <c r="B272" s="20" t="s">
        <v>215</v>
      </c>
      <c r="C272" s="20" t="s">
        <v>244</v>
      </c>
      <c r="D272" s="20" t="s">
        <v>872</v>
      </c>
      <c r="E272" s="20" t="s">
        <v>209</v>
      </c>
      <c r="F272" s="6">
        <f>'Пр.4 ведом.21'!G195</f>
        <v>5857.2000000000007</v>
      </c>
      <c r="G272" s="389">
        <f>'Пр.4 ведом.21'!H195</f>
        <v>5856.9369999999999</v>
      </c>
      <c r="H272" s="389">
        <f t="shared" si="44"/>
        <v>99.995509799904383</v>
      </c>
    </row>
    <row r="273" spans="1:8" ht="31.5" x14ac:dyDescent="0.25">
      <c r="A273" s="396" t="s">
        <v>198</v>
      </c>
      <c r="B273" s="20" t="s">
        <v>215</v>
      </c>
      <c r="C273" s="20" t="s">
        <v>244</v>
      </c>
      <c r="D273" s="20" t="s">
        <v>872</v>
      </c>
      <c r="E273" s="20" t="s">
        <v>132</v>
      </c>
      <c r="F273" s="6">
        <f>'Пр.4 ведом.21'!G197</f>
        <v>184.75</v>
      </c>
      <c r="G273" s="389">
        <f>'Пр.4 ведом.21'!H197</f>
        <v>184.74600000000001</v>
      </c>
      <c r="H273" s="389">
        <f t="shared" si="44"/>
        <v>99.997834912043302</v>
      </c>
    </row>
    <row r="274" spans="1:8" ht="31.5" x14ac:dyDescent="0.25">
      <c r="A274" s="396" t="s">
        <v>133</v>
      </c>
      <c r="B274" s="20" t="s">
        <v>215</v>
      </c>
      <c r="C274" s="20" t="s">
        <v>244</v>
      </c>
      <c r="D274" s="20" t="s">
        <v>872</v>
      </c>
      <c r="E274" s="20" t="s">
        <v>134</v>
      </c>
      <c r="F274" s="6">
        <f>'Пр.4 ведом.21'!G197</f>
        <v>184.75</v>
      </c>
      <c r="G274" s="389">
        <f>'Пр.4 ведом.21'!H197</f>
        <v>184.74600000000001</v>
      </c>
      <c r="H274" s="389">
        <f t="shared" si="44"/>
        <v>99.997834912043302</v>
      </c>
    </row>
    <row r="275" spans="1:8" ht="47.25" x14ac:dyDescent="0.25">
      <c r="A275" s="396" t="s">
        <v>838</v>
      </c>
      <c r="B275" s="20" t="s">
        <v>215</v>
      </c>
      <c r="C275" s="20" t="s">
        <v>244</v>
      </c>
      <c r="D275" s="20" t="s">
        <v>873</v>
      </c>
      <c r="E275" s="20"/>
      <c r="F275" s="6">
        <f t="shared" ref="F275:G275" si="46">F276</f>
        <v>346</v>
      </c>
      <c r="G275" s="389">
        <f t="shared" si="46"/>
        <v>345.99900000000002</v>
      </c>
      <c r="H275" s="389">
        <f t="shared" si="44"/>
        <v>99.999710982658968</v>
      </c>
    </row>
    <row r="276" spans="1:8" ht="78.75" x14ac:dyDescent="0.25">
      <c r="A276" s="396" t="s">
        <v>127</v>
      </c>
      <c r="B276" s="20" t="s">
        <v>215</v>
      </c>
      <c r="C276" s="20" t="s">
        <v>244</v>
      </c>
      <c r="D276" s="20" t="s">
        <v>873</v>
      </c>
      <c r="E276" s="20" t="s">
        <v>128</v>
      </c>
      <c r="F276" s="6">
        <f>F277</f>
        <v>346</v>
      </c>
      <c r="G276" s="389">
        <f>G277</f>
        <v>345.99900000000002</v>
      </c>
      <c r="H276" s="389">
        <f t="shared" si="44"/>
        <v>99.999710982658968</v>
      </c>
    </row>
    <row r="277" spans="1:8" s="191" customFormat="1" ht="31.5" x14ac:dyDescent="0.25">
      <c r="A277" s="396" t="s">
        <v>129</v>
      </c>
      <c r="B277" s="20" t="s">
        <v>215</v>
      </c>
      <c r="C277" s="20" t="s">
        <v>244</v>
      </c>
      <c r="D277" s="20" t="s">
        <v>873</v>
      </c>
      <c r="E277" s="20" t="s">
        <v>130</v>
      </c>
      <c r="F277" s="6">
        <f>'Пр.4 ведом.21'!G200</f>
        <v>346</v>
      </c>
      <c r="G277" s="389">
        <f>'Пр.4 ведом.21'!H200</f>
        <v>345.99900000000002</v>
      </c>
      <c r="H277" s="389">
        <f t="shared" si="44"/>
        <v>99.999710982658968</v>
      </c>
    </row>
    <row r="278" spans="1:8" s="387" customFormat="1" ht="31.5" x14ac:dyDescent="0.25">
      <c r="A278" s="396" t="s">
        <v>1677</v>
      </c>
      <c r="B278" s="392" t="s">
        <v>215</v>
      </c>
      <c r="C278" s="392" t="s">
        <v>244</v>
      </c>
      <c r="D278" s="392" t="s">
        <v>1680</v>
      </c>
      <c r="E278" s="392"/>
      <c r="F278" s="389">
        <f>F279</f>
        <v>121.39709999999999</v>
      </c>
      <c r="G278" s="389">
        <f>G279</f>
        <v>121.39700000000001</v>
      </c>
      <c r="H278" s="389">
        <f t="shared" si="44"/>
        <v>99.999917625709358</v>
      </c>
    </row>
    <row r="279" spans="1:8" s="387" customFormat="1" ht="78.75" x14ac:dyDescent="0.25">
      <c r="A279" s="396" t="s">
        <v>127</v>
      </c>
      <c r="B279" s="392" t="s">
        <v>215</v>
      </c>
      <c r="C279" s="392" t="s">
        <v>244</v>
      </c>
      <c r="D279" s="392" t="s">
        <v>1680</v>
      </c>
      <c r="E279" s="392" t="s">
        <v>128</v>
      </c>
      <c r="F279" s="389">
        <f>F280</f>
        <v>121.39709999999999</v>
      </c>
      <c r="G279" s="389">
        <f>G280</f>
        <v>121.39700000000001</v>
      </c>
      <c r="H279" s="389">
        <f t="shared" si="44"/>
        <v>99.999917625709358</v>
      </c>
    </row>
    <row r="280" spans="1:8" s="387" customFormat="1" ht="15.75" x14ac:dyDescent="0.25">
      <c r="A280" s="396" t="s">
        <v>208</v>
      </c>
      <c r="B280" s="392" t="s">
        <v>215</v>
      </c>
      <c r="C280" s="392" t="s">
        <v>244</v>
      </c>
      <c r="D280" s="392" t="s">
        <v>1680</v>
      </c>
      <c r="E280" s="392" t="s">
        <v>209</v>
      </c>
      <c r="F280" s="389">
        <f>'Пр.4 ведом.21'!G203</f>
        <v>121.39709999999999</v>
      </c>
      <c r="G280" s="389">
        <f>'Пр.4 ведом.21'!H203</f>
        <v>121.39700000000001</v>
      </c>
      <c r="H280" s="389">
        <f t="shared" si="44"/>
        <v>99.999917625709358</v>
      </c>
    </row>
    <row r="281" spans="1:8" s="387" customFormat="1" ht="47.25" x14ac:dyDescent="0.25">
      <c r="A281" s="400" t="s">
        <v>1351</v>
      </c>
      <c r="B281" s="8" t="s">
        <v>215</v>
      </c>
      <c r="C281" s="8" t="s">
        <v>244</v>
      </c>
      <c r="D281" s="395" t="s">
        <v>705</v>
      </c>
      <c r="E281" s="392"/>
      <c r="F281" s="388">
        <f>F282</f>
        <v>600</v>
      </c>
      <c r="G281" s="388">
        <f>G282</f>
        <v>506.315</v>
      </c>
      <c r="H281" s="492">
        <f t="shared" si="44"/>
        <v>84.385833333333338</v>
      </c>
    </row>
    <row r="282" spans="1:8" s="387" customFormat="1" ht="31.5" x14ac:dyDescent="0.25">
      <c r="A282" s="394" t="s">
        <v>1551</v>
      </c>
      <c r="B282" s="395" t="s">
        <v>215</v>
      </c>
      <c r="C282" s="395" t="s">
        <v>244</v>
      </c>
      <c r="D282" s="395" t="s">
        <v>1552</v>
      </c>
      <c r="E282" s="403"/>
      <c r="F282" s="388">
        <f>F283+F286</f>
        <v>600</v>
      </c>
      <c r="G282" s="388">
        <f>G283+G286</f>
        <v>506.315</v>
      </c>
      <c r="H282" s="492">
        <f t="shared" si="44"/>
        <v>84.385833333333338</v>
      </c>
    </row>
    <row r="283" spans="1:8" s="387" customFormat="1" ht="15.75" hidden="1" x14ac:dyDescent="0.25">
      <c r="A283" s="396" t="s">
        <v>230</v>
      </c>
      <c r="B283" s="392" t="s">
        <v>215</v>
      </c>
      <c r="C283" s="392" t="s">
        <v>244</v>
      </c>
      <c r="D283" s="392" t="s">
        <v>1553</v>
      </c>
      <c r="E283" s="398"/>
      <c r="F283" s="389">
        <f>F284</f>
        <v>0</v>
      </c>
      <c r="G283" s="389">
        <f>G284</f>
        <v>0</v>
      </c>
      <c r="H283" s="389" t="e">
        <f t="shared" si="44"/>
        <v>#DIV/0!</v>
      </c>
    </row>
    <row r="284" spans="1:8" s="387" customFormat="1" ht="31.5" hidden="1" x14ac:dyDescent="0.25">
      <c r="A284" s="396" t="s">
        <v>131</v>
      </c>
      <c r="B284" s="392" t="s">
        <v>215</v>
      </c>
      <c r="C284" s="392" t="s">
        <v>244</v>
      </c>
      <c r="D284" s="392" t="s">
        <v>1553</v>
      </c>
      <c r="E284" s="398" t="s">
        <v>132</v>
      </c>
      <c r="F284" s="389">
        <f>F285</f>
        <v>0</v>
      </c>
      <c r="G284" s="389">
        <f>G285</f>
        <v>0</v>
      </c>
      <c r="H284" s="389" t="e">
        <f t="shared" si="44"/>
        <v>#DIV/0!</v>
      </c>
    </row>
    <row r="285" spans="1:8" s="387" customFormat="1" ht="31.5" hidden="1" x14ac:dyDescent="0.25">
      <c r="A285" s="396" t="s">
        <v>133</v>
      </c>
      <c r="B285" s="392" t="s">
        <v>215</v>
      </c>
      <c r="C285" s="392" t="s">
        <v>244</v>
      </c>
      <c r="D285" s="392" t="s">
        <v>1553</v>
      </c>
      <c r="E285" s="398" t="s">
        <v>134</v>
      </c>
      <c r="F285" s="389">
        <f>'Пр.4 ведом.21'!G208</f>
        <v>0</v>
      </c>
      <c r="G285" s="389">
        <f>'Пр.4 ведом.21'!H208</f>
        <v>0</v>
      </c>
      <c r="H285" s="389" t="e">
        <f t="shared" si="44"/>
        <v>#DIV/0!</v>
      </c>
    </row>
    <row r="286" spans="1:8" s="387" customFormat="1" ht="47.25" x14ac:dyDescent="0.25">
      <c r="A286" s="396" t="s">
        <v>1578</v>
      </c>
      <c r="B286" s="392" t="s">
        <v>215</v>
      </c>
      <c r="C286" s="392" t="s">
        <v>244</v>
      </c>
      <c r="D286" s="392" t="s">
        <v>1579</v>
      </c>
      <c r="E286" s="398"/>
      <c r="F286" s="389">
        <f>F287</f>
        <v>600</v>
      </c>
      <c r="G286" s="389">
        <f>G287</f>
        <v>506.315</v>
      </c>
      <c r="H286" s="389">
        <f t="shared" si="44"/>
        <v>84.385833333333338</v>
      </c>
    </row>
    <row r="287" spans="1:8" s="387" customFormat="1" ht="31.5" x14ac:dyDescent="0.25">
      <c r="A287" s="396" t="s">
        <v>248</v>
      </c>
      <c r="B287" s="392" t="s">
        <v>215</v>
      </c>
      <c r="C287" s="392" t="s">
        <v>244</v>
      </c>
      <c r="D287" s="392" t="s">
        <v>1579</v>
      </c>
      <c r="E287" s="398" t="s">
        <v>249</v>
      </c>
      <c r="F287" s="389">
        <f>F288</f>
        <v>600</v>
      </c>
      <c r="G287" s="389">
        <f>G288</f>
        <v>506.315</v>
      </c>
      <c r="H287" s="389">
        <f t="shared" si="44"/>
        <v>84.385833333333338</v>
      </c>
    </row>
    <row r="288" spans="1:8" s="387" customFormat="1" ht="31.5" x14ac:dyDescent="0.25">
      <c r="A288" s="396" t="s">
        <v>250</v>
      </c>
      <c r="B288" s="392" t="s">
        <v>215</v>
      </c>
      <c r="C288" s="392" t="s">
        <v>244</v>
      </c>
      <c r="D288" s="392" t="s">
        <v>1579</v>
      </c>
      <c r="E288" s="398" t="s">
        <v>251</v>
      </c>
      <c r="F288" s="389">
        <f>'Пр.4 ведом.21'!G213</f>
        <v>600</v>
      </c>
      <c r="G288" s="389">
        <f>'Пр.4 ведом.21'!H213</f>
        <v>506.315</v>
      </c>
      <c r="H288" s="389">
        <f t="shared" si="44"/>
        <v>84.385833333333338</v>
      </c>
    </row>
    <row r="289" spans="1:8" ht="15.75" x14ac:dyDescent="0.25">
      <c r="A289" s="394" t="s">
        <v>232</v>
      </c>
      <c r="B289" s="24" t="s">
        <v>150</v>
      </c>
      <c r="C289" s="24"/>
      <c r="D289" s="24"/>
      <c r="E289" s="20"/>
      <c r="F289" s="4">
        <f>F300+F306+F320+F290</f>
        <v>8485.7000000000007</v>
      </c>
      <c r="G289" s="388">
        <f>G300+G306+G320+G290</f>
        <v>8394.0419999999995</v>
      </c>
      <c r="H289" s="492">
        <f t="shared" si="44"/>
        <v>98.919853400426589</v>
      </c>
    </row>
    <row r="290" spans="1:8" ht="15.75" x14ac:dyDescent="0.25">
      <c r="A290" s="394" t="s">
        <v>233</v>
      </c>
      <c r="B290" s="24" t="s">
        <v>150</v>
      </c>
      <c r="C290" s="24" t="s">
        <v>234</v>
      </c>
      <c r="D290" s="24"/>
      <c r="E290" s="20"/>
      <c r="F290" s="4">
        <f>F291</f>
        <v>19</v>
      </c>
      <c r="G290" s="388">
        <f>G291</f>
        <v>0</v>
      </c>
      <c r="H290" s="492">
        <f t="shared" si="44"/>
        <v>0</v>
      </c>
    </row>
    <row r="291" spans="1:8" ht="31.7" customHeight="1" x14ac:dyDescent="0.25">
      <c r="A291" s="34" t="s">
        <v>1374</v>
      </c>
      <c r="B291" s="24" t="s">
        <v>150</v>
      </c>
      <c r="C291" s="24" t="s">
        <v>234</v>
      </c>
      <c r="D291" s="187" t="s">
        <v>182</v>
      </c>
      <c r="E291" s="206"/>
      <c r="F291" s="4">
        <f>F292+F296</f>
        <v>19</v>
      </c>
      <c r="G291" s="388">
        <f>G292+G296</f>
        <v>0</v>
      </c>
      <c r="H291" s="492">
        <f t="shared" si="44"/>
        <v>0</v>
      </c>
    </row>
    <row r="292" spans="1:8" ht="31.5" x14ac:dyDescent="0.25">
      <c r="A292" s="34" t="s">
        <v>1005</v>
      </c>
      <c r="B292" s="24" t="s">
        <v>150</v>
      </c>
      <c r="C292" s="24" t="s">
        <v>234</v>
      </c>
      <c r="D292" s="233" t="s">
        <v>876</v>
      </c>
      <c r="E292" s="206"/>
      <c r="F292" s="4">
        <f t="shared" ref="F292:G294" si="47">F293</f>
        <v>19</v>
      </c>
      <c r="G292" s="388">
        <f t="shared" si="47"/>
        <v>0</v>
      </c>
      <c r="H292" s="492">
        <f t="shared" si="44"/>
        <v>0</v>
      </c>
    </row>
    <row r="293" spans="1:8" ht="31.5" x14ac:dyDescent="0.25">
      <c r="A293" s="396" t="s">
        <v>235</v>
      </c>
      <c r="B293" s="20" t="s">
        <v>150</v>
      </c>
      <c r="C293" s="20" t="s">
        <v>234</v>
      </c>
      <c r="D293" s="20" t="s">
        <v>897</v>
      </c>
      <c r="E293" s="32"/>
      <c r="F293" s="6">
        <f t="shared" si="47"/>
        <v>19</v>
      </c>
      <c r="G293" s="389">
        <f t="shared" si="47"/>
        <v>0</v>
      </c>
      <c r="H293" s="389">
        <f t="shared" si="44"/>
        <v>0</v>
      </c>
    </row>
    <row r="294" spans="1:8" ht="15.75" x14ac:dyDescent="0.25">
      <c r="A294" s="29" t="s">
        <v>135</v>
      </c>
      <c r="B294" s="20" t="s">
        <v>150</v>
      </c>
      <c r="C294" s="20" t="s">
        <v>234</v>
      </c>
      <c r="D294" s="20" t="s">
        <v>897</v>
      </c>
      <c r="E294" s="32" t="s">
        <v>145</v>
      </c>
      <c r="F294" s="6">
        <f t="shared" si="47"/>
        <v>19</v>
      </c>
      <c r="G294" s="389">
        <f t="shared" si="47"/>
        <v>0</v>
      </c>
      <c r="H294" s="389">
        <f t="shared" si="44"/>
        <v>0</v>
      </c>
    </row>
    <row r="295" spans="1:8" ht="47.25" x14ac:dyDescent="0.25">
      <c r="A295" s="29" t="s">
        <v>184</v>
      </c>
      <c r="B295" s="20" t="s">
        <v>150</v>
      </c>
      <c r="C295" s="20" t="s">
        <v>234</v>
      </c>
      <c r="D295" s="20" t="s">
        <v>897</v>
      </c>
      <c r="E295" s="32" t="s">
        <v>160</v>
      </c>
      <c r="F295" s="6">
        <f>'Пр.4 ведом.21'!G220</f>
        <v>19</v>
      </c>
      <c r="G295" s="389">
        <f>'Пр.4 ведом.21'!H220</f>
        <v>0</v>
      </c>
      <c r="H295" s="389">
        <f t="shared" si="44"/>
        <v>0</v>
      </c>
    </row>
    <row r="296" spans="1:8" ht="47.25" hidden="1" x14ac:dyDescent="0.25">
      <c r="A296" s="198" t="s">
        <v>1006</v>
      </c>
      <c r="B296" s="24" t="s">
        <v>150</v>
      </c>
      <c r="C296" s="24" t="s">
        <v>234</v>
      </c>
      <c r="D296" s="187" t="s">
        <v>878</v>
      </c>
      <c r="E296" s="206"/>
      <c r="F296" s="4">
        <f t="shared" ref="F296:G298" si="48">F297</f>
        <v>0</v>
      </c>
      <c r="G296" s="388">
        <f t="shared" si="48"/>
        <v>0</v>
      </c>
      <c r="H296" s="389" t="e">
        <f t="shared" si="44"/>
        <v>#DIV/0!</v>
      </c>
    </row>
    <row r="297" spans="1:8" s="191" customFormat="1" ht="15.75" hidden="1" x14ac:dyDescent="0.25">
      <c r="A297" s="396" t="s">
        <v>877</v>
      </c>
      <c r="B297" s="20" t="s">
        <v>150</v>
      </c>
      <c r="C297" s="20" t="s">
        <v>234</v>
      </c>
      <c r="D297" s="5" t="s">
        <v>898</v>
      </c>
      <c r="E297" s="32"/>
      <c r="F297" s="6">
        <f t="shared" si="48"/>
        <v>0</v>
      </c>
      <c r="G297" s="389">
        <f t="shared" si="48"/>
        <v>0</v>
      </c>
      <c r="H297" s="389" t="e">
        <f t="shared" si="44"/>
        <v>#DIV/0!</v>
      </c>
    </row>
    <row r="298" spans="1:8" s="191" customFormat="1" ht="15.75" hidden="1" x14ac:dyDescent="0.25">
      <c r="A298" s="29" t="s">
        <v>135</v>
      </c>
      <c r="B298" s="20" t="s">
        <v>150</v>
      </c>
      <c r="C298" s="20" t="s">
        <v>234</v>
      </c>
      <c r="D298" s="5" t="s">
        <v>898</v>
      </c>
      <c r="E298" s="32" t="s">
        <v>145</v>
      </c>
      <c r="F298" s="6">
        <f t="shared" si="48"/>
        <v>0</v>
      </c>
      <c r="G298" s="389">
        <f t="shared" si="48"/>
        <v>0</v>
      </c>
      <c r="H298" s="389" t="e">
        <f t="shared" si="44"/>
        <v>#DIV/0!</v>
      </c>
    </row>
    <row r="299" spans="1:8" s="191" customFormat="1" ht="47.25" hidden="1" x14ac:dyDescent="0.25">
      <c r="A299" s="29" t="s">
        <v>184</v>
      </c>
      <c r="B299" s="20" t="s">
        <v>150</v>
      </c>
      <c r="C299" s="20" t="s">
        <v>234</v>
      </c>
      <c r="D299" s="5" t="s">
        <v>898</v>
      </c>
      <c r="E299" s="32" t="s">
        <v>160</v>
      </c>
      <c r="F299" s="6">
        <f>'Пр.4 ведом.21'!G224</f>
        <v>0</v>
      </c>
      <c r="G299" s="389">
        <f>'Пр.4 ведом.21'!H224</f>
        <v>0</v>
      </c>
      <c r="H299" s="389" t="e">
        <f t="shared" si="44"/>
        <v>#DIV/0!</v>
      </c>
    </row>
    <row r="300" spans="1:8" ht="15.75" x14ac:dyDescent="0.25">
      <c r="A300" s="394" t="s">
        <v>505</v>
      </c>
      <c r="B300" s="24" t="s">
        <v>150</v>
      </c>
      <c r="C300" s="24" t="s">
        <v>299</v>
      </c>
      <c r="D300" s="24"/>
      <c r="E300" s="24"/>
      <c r="F300" s="4">
        <f t="shared" ref="F300:G304" si="49">F301</f>
        <v>3258</v>
      </c>
      <c r="G300" s="388">
        <f t="shared" si="49"/>
        <v>3258</v>
      </c>
      <c r="H300" s="492">
        <f t="shared" si="44"/>
        <v>100</v>
      </c>
    </row>
    <row r="301" spans="1:8" ht="15.75" x14ac:dyDescent="0.25">
      <c r="A301" s="394" t="s">
        <v>141</v>
      </c>
      <c r="B301" s="24" t="s">
        <v>150</v>
      </c>
      <c r="C301" s="24" t="s">
        <v>299</v>
      </c>
      <c r="D301" s="24" t="s">
        <v>865</v>
      </c>
      <c r="E301" s="24"/>
      <c r="F301" s="4">
        <f t="shared" si="49"/>
        <v>3258</v>
      </c>
      <c r="G301" s="388">
        <f t="shared" si="49"/>
        <v>3258</v>
      </c>
      <c r="H301" s="492">
        <f t="shared" si="44"/>
        <v>100</v>
      </c>
    </row>
    <row r="302" spans="1:8" ht="31.5" x14ac:dyDescent="0.25">
      <c r="A302" s="394" t="s">
        <v>869</v>
      </c>
      <c r="B302" s="24" t="s">
        <v>150</v>
      </c>
      <c r="C302" s="24" t="s">
        <v>299</v>
      </c>
      <c r="D302" s="24" t="s">
        <v>864</v>
      </c>
      <c r="E302" s="24"/>
      <c r="F302" s="4">
        <f t="shared" si="49"/>
        <v>3258</v>
      </c>
      <c r="G302" s="388">
        <f t="shared" si="49"/>
        <v>3258</v>
      </c>
      <c r="H302" s="492">
        <f t="shared" si="44"/>
        <v>100</v>
      </c>
    </row>
    <row r="303" spans="1:8" ht="17.45" customHeight="1" x14ac:dyDescent="0.25">
      <c r="A303" s="396" t="s">
        <v>506</v>
      </c>
      <c r="B303" s="20" t="s">
        <v>150</v>
      </c>
      <c r="C303" s="20" t="s">
        <v>299</v>
      </c>
      <c r="D303" s="20" t="s">
        <v>956</v>
      </c>
      <c r="E303" s="20"/>
      <c r="F303" s="6">
        <f t="shared" si="49"/>
        <v>3258</v>
      </c>
      <c r="G303" s="389">
        <f t="shared" si="49"/>
        <v>3258</v>
      </c>
      <c r="H303" s="389">
        <f t="shared" si="44"/>
        <v>100</v>
      </c>
    </row>
    <row r="304" spans="1:8" ht="34.5" customHeight="1" x14ac:dyDescent="0.25">
      <c r="A304" s="396" t="s">
        <v>131</v>
      </c>
      <c r="B304" s="20" t="s">
        <v>150</v>
      </c>
      <c r="C304" s="20" t="s">
        <v>299</v>
      </c>
      <c r="D304" s="20" t="s">
        <v>956</v>
      </c>
      <c r="E304" s="20" t="s">
        <v>132</v>
      </c>
      <c r="F304" s="6">
        <f t="shared" si="49"/>
        <v>3258</v>
      </c>
      <c r="G304" s="389">
        <f t="shared" si="49"/>
        <v>3258</v>
      </c>
      <c r="H304" s="389">
        <f t="shared" si="44"/>
        <v>100</v>
      </c>
    </row>
    <row r="305" spans="1:8" ht="38.25" customHeight="1" x14ac:dyDescent="0.25">
      <c r="A305" s="396" t="s">
        <v>133</v>
      </c>
      <c r="B305" s="20" t="s">
        <v>150</v>
      </c>
      <c r="C305" s="20" t="s">
        <v>299</v>
      </c>
      <c r="D305" s="20" t="s">
        <v>956</v>
      </c>
      <c r="E305" s="20" t="s">
        <v>134</v>
      </c>
      <c r="F305" s="331">
        <f>'Пр.4 ведом.21'!G992</f>
        <v>3258</v>
      </c>
      <c r="G305" s="331">
        <f>'Пр.4 ведом.21'!H992</f>
        <v>3258</v>
      </c>
      <c r="H305" s="389">
        <f t="shared" si="44"/>
        <v>100</v>
      </c>
    </row>
    <row r="306" spans="1:8" ht="15.75" x14ac:dyDescent="0.25">
      <c r="A306" s="394" t="s">
        <v>508</v>
      </c>
      <c r="B306" s="24" t="s">
        <v>150</v>
      </c>
      <c r="C306" s="24" t="s">
        <v>219</v>
      </c>
      <c r="D306" s="20"/>
      <c r="E306" s="24"/>
      <c r="F306" s="4">
        <f t="shared" ref="F306:G306" si="50">F307</f>
        <v>4844.5</v>
      </c>
      <c r="G306" s="388">
        <f t="shared" si="50"/>
        <v>4771.8419999999996</v>
      </c>
      <c r="H306" s="492">
        <f t="shared" si="44"/>
        <v>98.500196098668596</v>
      </c>
    </row>
    <row r="307" spans="1:8" ht="47.25" x14ac:dyDescent="0.25">
      <c r="A307" s="34" t="s">
        <v>1369</v>
      </c>
      <c r="B307" s="24" t="s">
        <v>150</v>
      </c>
      <c r="C307" s="24" t="s">
        <v>219</v>
      </c>
      <c r="D307" s="24" t="s">
        <v>510</v>
      </c>
      <c r="E307" s="24"/>
      <c r="F307" s="59">
        <f>F308+F312</f>
        <v>4844.5</v>
      </c>
      <c r="G307" s="59">
        <f>G308+G312</f>
        <v>4771.8419999999996</v>
      </c>
      <c r="H307" s="492">
        <f t="shared" si="44"/>
        <v>98.500196098668596</v>
      </c>
    </row>
    <row r="308" spans="1:8" ht="31.5" hidden="1" x14ac:dyDescent="0.25">
      <c r="A308" s="34" t="s">
        <v>998</v>
      </c>
      <c r="B308" s="24" t="s">
        <v>150</v>
      </c>
      <c r="C308" s="24" t="s">
        <v>219</v>
      </c>
      <c r="D308" s="7" t="s">
        <v>957</v>
      </c>
      <c r="E308" s="24"/>
      <c r="F308" s="59">
        <f t="shared" ref="F308:G310" si="51">F309</f>
        <v>0</v>
      </c>
      <c r="G308" s="59">
        <f t="shared" si="51"/>
        <v>0</v>
      </c>
      <c r="H308" s="492" t="e">
        <f t="shared" si="44"/>
        <v>#DIV/0!</v>
      </c>
    </row>
    <row r="309" spans="1:8" ht="15.75" hidden="1" x14ac:dyDescent="0.25">
      <c r="A309" s="29" t="s">
        <v>1000</v>
      </c>
      <c r="B309" s="20" t="s">
        <v>150</v>
      </c>
      <c r="C309" s="20" t="s">
        <v>219</v>
      </c>
      <c r="D309" s="40" t="s">
        <v>999</v>
      </c>
      <c r="E309" s="20"/>
      <c r="F309" s="10">
        <f t="shared" si="51"/>
        <v>0</v>
      </c>
      <c r="G309" s="10">
        <f t="shared" si="51"/>
        <v>0</v>
      </c>
      <c r="H309" s="492" t="e">
        <f t="shared" si="44"/>
        <v>#DIV/0!</v>
      </c>
    </row>
    <row r="310" spans="1:8" ht="31.5" hidden="1" x14ac:dyDescent="0.25">
      <c r="A310" s="396" t="s">
        <v>131</v>
      </c>
      <c r="B310" s="20" t="s">
        <v>150</v>
      </c>
      <c r="C310" s="20" t="s">
        <v>219</v>
      </c>
      <c r="D310" s="40" t="s">
        <v>999</v>
      </c>
      <c r="E310" s="20" t="s">
        <v>132</v>
      </c>
      <c r="F310" s="331">
        <f t="shared" si="51"/>
        <v>0</v>
      </c>
      <c r="G310" s="331">
        <f t="shared" si="51"/>
        <v>0</v>
      </c>
      <c r="H310" s="492" t="e">
        <f t="shared" si="44"/>
        <v>#DIV/0!</v>
      </c>
    </row>
    <row r="311" spans="1:8" ht="31.5" hidden="1" x14ac:dyDescent="0.25">
      <c r="A311" s="396" t="s">
        <v>133</v>
      </c>
      <c r="B311" s="20" t="s">
        <v>150</v>
      </c>
      <c r="C311" s="20" t="s">
        <v>219</v>
      </c>
      <c r="D311" s="40" t="s">
        <v>999</v>
      </c>
      <c r="E311" s="20" t="s">
        <v>134</v>
      </c>
      <c r="F311" s="331">
        <f>'Пр.4 ведом.21'!G998</f>
        <v>0</v>
      </c>
      <c r="G311" s="331">
        <f>'Пр.4 ведом.21'!H998</f>
        <v>0</v>
      </c>
      <c r="H311" s="492" t="e">
        <f t="shared" si="44"/>
        <v>#DIV/0!</v>
      </c>
    </row>
    <row r="312" spans="1:8" ht="31.5" x14ac:dyDescent="0.25">
      <c r="A312" s="34" t="s">
        <v>1061</v>
      </c>
      <c r="B312" s="24" t="s">
        <v>150</v>
      </c>
      <c r="C312" s="24" t="s">
        <v>219</v>
      </c>
      <c r="D312" s="24" t="s">
        <v>958</v>
      </c>
      <c r="E312" s="24"/>
      <c r="F312" s="333">
        <f>F313</f>
        <v>4844.5</v>
      </c>
      <c r="G312" s="333">
        <f>G313</f>
        <v>4771.8419999999996</v>
      </c>
      <c r="H312" s="492">
        <f t="shared" si="44"/>
        <v>98.500196098668596</v>
      </c>
    </row>
    <row r="313" spans="1:8" s="191" customFormat="1" ht="15.75" x14ac:dyDescent="0.25">
      <c r="A313" s="29" t="s">
        <v>511</v>
      </c>
      <c r="B313" s="20" t="s">
        <v>150</v>
      </c>
      <c r="C313" s="20" t="s">
        <v>219</v>
      </c>
      <c r="D313" s="40" t="s">
        <v>1001</v>
      </c>
      <c r="E313" s="20"/>
      <c r="F313" s="331">
        <f>F316+F318+F314</f>
        <v>4844.5</v>
      </c>
      <c r="G313" s="331">
        <f>G316+G318+G314</f>
        <v>4771.8419999999996</v>
      </c>
      <c r="H313" s="389">
        <f t="shared" si="44"/>
        <v>98.500196098668596</v>
      </c>
    </row>
    <row r="314" spans="1:8" s="191" customFormat="1" ht="78.75" x14ac:dyDescent="0.25">
      <c r="A314" s="396" t="s">
        <v>127</v>
      </c>
      <c r="B314" s="20" t="s">
        <v>150</v>
      </c>
      <c r="C314" s="20" t="s">
        <v>219</v>
      </c>
      <c r="D314" s="40" t="s">
        <v>1001</v>
      </c>
      <c r="E314" s="20" t="s">
        <v>128</v>
      </c>
      <c r="F314" s="331">
        <f>F315</f>
        <v>2367.8000000000002</v>
      </c>
      <c r="G314" s="331">
        <f>G315</f>
        <v>2365.3429999999998</v>
      </c>
      <c r="H314" s="389">
        <f t="shared" si="44"/>
        <v>99.896232789931574</v>
      </c>
    </row>
    <row r="315" spans="1:8" s="191" customFormat="1" ht="15.75" x14ac:dyDescent="0.25">
      <c r="A315" s="396" t="s">
        <v>208</v>
      </c>
      <c r="B315" s="20" t="s">
        <v>150</v>
      </c>
      <c r="C315" s="20" t="s">
        <v>219</v>
      </c>
      <c r="D315" s="40" t="s">
        <v>1001</v>
      </c>
      <c r="E315" s="20" t="s">
        <v>209</v>
      </c>
      <c r="F315" s="331">
        <f>'Пр.4 ведом.21'!G1002</f>
        <v>2367.8000000000002</v>
      </c>
      <c r="G315" s="331">
        <f>'Пр.4 ведом.21'!H1002</f>
        <v>2365.3429999999998</v>
      </c>
      <c r="H315" s="389">
        <f t="shared" si="44"/>
        <v>99.896232789931574</v>
      </c>
    </row>
    <row r="316" spans="1:8" s="191" customFormat="1" ht="31.5" x14ac:dyDescent="0.25">
      <c r="A316" s="396" t="s">
        <v>131</v>
      </c>
      <c r="B316" s="20" t="s">
        <v>150</v>
      </c>
      <c r="C316" s="20" t="s">
        <v>219</v>
      </c>
      <c r="D316" s="40" t="s">
        <v>1001</v>
      </c>
      <c r="E316" s="20" t="s">
        <v>132</v>
      </c>
      <c r="F316" s="331">
        <f>F317</f>
        <v>2476.7000000000003</v>
      </c>
      <c r="G316" s="331">
        <f>G317</f>
        <v>2406.4989999999998</v>
      </c>
      <c r="H316" s="389">
        <f t="shared" si="44"/>
        <v>97.165542859450056</v>
      </c>
    </row>
    <row r="317" spans="1:8" s="191" customFormat="1" ht="35.450000000000003" customHeight="1" x14ac:dyDescent="0.25">
      <c r="A317" s="396" t="s">
        <v>133</v>
      </c>
      <c r="B317" s="20" t="s">
        <v>150</v>
      </c>
      <c r="C317" s="20" t="s">
        <v>219</v>
      </c>
      <c r="D317" s="40" t="s">
        <v>1001</v>
      </c>
      <c r="E317" s="20" t="s">
        <v>134</v>
      </c>
      <c r="F317" s="331">
        <f>'Пр.4 ведом.21'!G1004</f>
        <v>2476.7000000000003</v>
      </c>
      <c r="G317" s="331">
        <f>'Пр.4 ведом.21'!H1004</f>
        <v>2406.4989999999998</v>
      </c>
      <c r="H317" s="389">
        <f t="shared" si="44"/>
        <v>97.165542859450056</v>
      </c>
    </row>
    <row r="318" spans="1:8" s="191" customFormat="1" ht="15.75" hidden="1" x14ac:dyDescent="0.25">
      <c r="A318" s="396" t="s">
        <v>135</v>
      </c>
      <c r="B318" s="20" t="s">
        <v>150</v>
      </c>
      <c r="C318" s="20" t="s">
        <v>219</v>
      </c>
      <c r="D318" s="40" t="s">
        <v>1001</v>
      </c>
      <c r="E318" s="20" t="s">
        <v>145</v>
      </c>
      <c r="F318" s="331">
        <f>F319</f>
        <v>0</v>
      </c>
      <c r="G318" s="331">
        <f>G319</f>
        <v>0</v>
      </c>
      <c r="H318" s="389" t="e">
        <f t="shared" si="44"/>
        <v>#DIV/0!</v>
      </c>
    </row>
    <row r="319" spans="1:8" s="191" customFormat="1" ht="15.75" hidden="1" x14ac:dyDescent="0.25">
      <c r="A319" s="396" t="s">
        <v>568</v>
      </c>
      <c r="B319" s="20" t="s">
        <v>150</v>
      </c>
      <c r="C319" s="20" t="s">
        <v>219</v>
      </c>
      <c r="D319" s="40" t="s">
        <v>1001</v>
      </c>
      <c r="E319" s="20" t="s">
        <v>138</v>
      </c>
      <c r="F319" s="331">
        <f>'Пр.4 ведом.21'!G1006</f>
        <v>0</v>
      </c>
      <c r="G319" s="331">
        <f>'Пр.4 ведом.21'!H1006</f>
        <v>0</v>
      </c>
      <c r="H319" s="389" t="e">
        <f t="shared" si="44"/>
        <v>#DIV/0!</v>
      </c>
    </row>
    <row r="320" spans="1:8" ht="41.45" customHeight="1" x14ac:dyDescent="0.25">
      <c r="A320" s="394" t="s">
        <v>237</v>
      </c>
      <c r="B320" s="24" t="s">
        <v>150</v>
      </c>
      <c r="C320" s="24" t="s">
        <v>238</v>
      </c>
      <c r="D320" s="24"/>
      <c r="E320" s="24"/>
      <c r="F320" s="59">
        <f>F321+F328+F346</f>
        <v>364.2</v>
      </c>
      <c r="G320" s="59">
        <f>G321+G328+G346</f>
        <v>364.2</v>
      </c>
      <c r="H320" s="492">
        <f t="shared" si="44"/>
        <v>100</v>
      </c>
    </row>
    <row r="321" spans="1:8" ht="31.5" x14ac:dyDescent="0.25">
      <c r="A321" s="394" t="s">
        <v>916</v>
      </c>
      <c r="B321" s="24" t="s">
        <v>150</v>
      </c>
      <c r="C321" s="24" t="s">
        <v>238</v>
      </c>
      <c r="D321" s="24" t="s">
        <v>857</v>
      </c>
      <c r="E321" s="24"/>
      <c r="F321" s="59">
        <f>F322</f>
        <v>264.2</v>
      </c>
      <c r="G321" s="59">
        <f>G322</f>
        <v>264.2</v>
      </c>
      <c r="H321" s="492">
        <f t="shared" si="44"/>
        <v>100</v>
      </c>
    </row>
    <row r="322" spans="1:8" ht="31.5" x14ac:dyDescent="0.25">
      <c r="A322" s="394" t="s">
        <v>884</v>
      </c>
      <c r="B322" s="24" t="s">
        <v>150</v>
      </c>
      <c r="C322" s="24" t="s">
        <v>238</v>
      </c>
      <c r="D322" s="24" t="s">
        <v>862</v>
      </c>
      <c r="E322" s="24"/>
      <c r="F322" s="59">
        <f>F323</f>
        <v>264.2</v>
      </c>
      <c r="G322" s="59">
        <f>G323</f>
        <v>264.2</v>
      </c>
      <c r="H322" s="492">
        <f t="shared" si="44"/>
        <v>100</v>
      </c>
    </row>
    <row r="323" spans="1:8" ht="63" x14ac:dyDescent="0.25">
      <c r="A323" s="31" t="s">
        <v>241</v>
      </c>
      <c r="B323" s="20" t="s">
        <v>150</v>
      </c>
      <c r="C323" s="20" t="s">
        <v>238</v>
      </c>
      <c r="D323" s="20" t="s">
        <v>923</v>
      </c>
      <c r="E323" s="20"/>
      <c r="F323" s="10">
        <f>F324+F326</f>
        <v>264.2</v>
      </c>
      <c r="G323" s="10">
        <f>G324+G326</f>
        <v>264.2</v>
      </c>
      <c r="H323" s="389">
        <f t="shared" si="44"/>
        <v>100</v>
      </c>
    </row>
    <row r="324" spans="1:8" ht="78.75" x14ac:dyDescent="0.25">
      <c r="A324" s="396" t="s">
        <v>127</v>
      </c>
      <c r="B324" s="20" t="s">
        <v>150</v>
      </c>
      <c r="C324" s="20" t="s">
        <v>238</v>
      </c>
      <c r="D324" s="20" t="s">
        <v>923</v>
      </c>
      <c r="E324" s="20" t="s">
        <v>128</v>
      </c>
      <c r="F324" s="10">
        <f>F325</f>
        <v>240.2</v>
      </c>
      <c r="G324" s="10">
        <f>G325</f>
        <v>240.2</v>
      </c>
      <c r="H324" s="389">
        <f t="shared" si="44"/>
        <v>100</v>
      </c>
    </row>
    <row r="325" spans="1:8" ht="32.25" customHeight="1" x14ac:dyDescent="0.25">
      <c r="A325" s="396" t="s">
        <v>129</v>
      </c>
      <c r="B325" s="20" t="s">
        <v>150</v>
      </c>
      <c r="C325" s="20" t="s">
        <v>238</v>
      </c>
      <c r="D325" s="20" t="s">
        <v>923</v>
      </c>
      <c r="E325" s="20" t="s">
        <v>130</v>
      </c>
      <c r="F325" s="10">
        <f>'Пр.4 ведом.21'!G230</f>
        <v>240.2</v>
      </c>
      <c r="G325" s="10">
        <f>'Пр.4 ведом.21'!H230</f>
        <v>240.2</v>
      </c>
      <c r="H325" s="389">
        <f t="shared" si="44"/>
        <v>100</v>
      </c>
    </row>
    <row r="326" spans="1:8" ht="31.5" x14ac:dyDescent="0.25">
      <c r="A326" s="396" t="s">
        <v>131</v>
      </c>
      <c r="B326" s="20" t="s">
        <v>150</v>
      </c>
      <c r="C326" s="20" t="s">
        <v>238</v>
      </c>
      <c r="D326" s="20" t="s">
        <v>923</v>
      </c>
      <c r="E326" s="20" t="s">
        <v>132</v>
      </c>
      <c r="F326" s="10">
        <f>F327</f>
        <v>24</v>
      </c>
      <c r="G326" s="10">
        <f>G327</f>
        <v>24</v>
      </c>
      <c r="H326" s="389">
        <f t="shared" si="44"/>
        <v>100</v>
      </c>
    </row>
    <row r="327" spans="1:8" ht="31.5" x14ac:dyDescent="0.25">
      <c r="A327" s="396" t="s">
        <v>133</v>
      </c>
      <c r="B327" s="20" t="s">
        <v>150</v>
      </c>
      <c r="C327" s="20" t="s">
        <v>238</v>
      </c>
      <c r="D327" s="20" t="s">
        <v>923</v>
      </c>
      <c r="E327" s="20" t="s">
        <v>134</v>
      </c>
      <c r="F327" s="10">
        <f>'Пр.4 ведом.21'!G232</f>
        <v>24</v>
      </c>
      <c r="G327" s="10">
        <f>'Пр.4 ведом.21'!H232</f>
        <v>24</v>
      </c>
      <c r="H327" s="389">
        <f t="shared" si="44"/>
        <v>100</v>
      </c>
    </row>
    <row r="328" spans="1:8" s="191" customFormat="1" ht="47.25" hidden="1" x14ac:dyDescent="0.25">
      <c r="A328" s="394" t="s">
        <v>1195</v>
      </c>
      <c r="B328" s="24" t="s">
        <v>150</v>
      </c>
      <c r="C328" s="24" t="s">
        <v>238</v>
      </c>
      <c r="D328" s="24" t="s">
        <v>344</v>
      </c>
      <c r="E328" s="206"/>
      <c r="F328" s="59">
        <f>F329</f>
        <v>0</v>
      </c>
      <c r="G328" s="59">
        <f>G329</f>
        <v>0</v>
      </c>
      <c r="H328" s="389" t="e">
        <f t="shared" si="44"/>
        <v>#DIV/0!</v>
      </c>
    </row>
    <row r="329" spans="1:8" s="191" customFormat="1" ht="63" hidden="1" x14ac:dyDescent="0.25">
      <c r="A329" s="394" t="s">
        <v>367</v>
      </c>
      <c r="B329" s="24" t="s">
        <v>150</v>
      </c>
      <c r="C329" s="24" t="s">
        <v>238</v>
      </c>
      <c r="D329" s="24" t="s">
        <v>356</v>
      </c>
      <c r="E329" s="24"/>
      <c r="F329" s="59">
        <f>F330+F334+F338+F342</f>
        <v>0</v>
      </c>
      <c r="G329" s="59">
        <f>G330+G334+G338+G342</f>
        <v>0</v>
      </c>
      <c r="H329" s="389" t="e">
        <f t="shared" ref="H329:H392" si="52">G329/F329*100</f>
        <v>#DIV/0!</v>
      </c>
    </row>
    <row r="330" spans="1:8" s="191" customFormat="1" ht="47.25" hidden="1" x14ac:dyDescent="0.25">
      <c r="A330" s="199" t="s">
        <v>1043</v>
      </c>
      <c r="B330" s="24" t="s">
        <v>150</v>
      </c>
      <c r="C330" s="24" t="s">
        <v>238</v>
      </c>
      <c r="D330" s="24" t="s">
        <v>906</v>
      </c>
      <c r="E330" s="24"/>
      <c r="F330" s="59">
        <f t="shared" ref="F330:G332" si="53">F331</f>
        <v>0</v>
      </c>
      <c r="G330" s="59">
        <f t="shared" si="53"/>
        <v>0</v>
      </c>
      <c r="H330" s="389" t="e">
        <f t="shared" si="52"/>
        <v>#DIV/0!</v>
      </c>
    </row>
    <row r="331" spans="1:8" s="191" customFormat="1" ht="47.25" hidden="1" x14ac:dyDescent="0.25">
      <c r="A331" s="396" t="s">
        <v>375</v>
      </c>
      <c r="B331" s="20" t="s">
        <v>150</v>
      </c>
      <c r="C331" s="20" t="s">
        <v>238</v>
      </c>
      <c r="D331" s="20" t="s">
        <v>1314</v>
      </c>
      <c r="E331" s="20"/>
      <c r="F331" s="10">
        <f t="shared" si="53"/>
        <v>0</v>
      </c>
      <c r="G331" s="10">
        <f t="shared" si="53"/>
        <v>0</v>
      </c>
      <c r="H331" s="389" t="e">
        <f t="shared" si="52"/>
        <v>#DIV/0!</v>
      </c>
    </row>
    <row r="332" spans="1:8" s="191" customFormat="1" ht="21.2" hidden="1" customHeight="1" x14ac:dyDescent="0.25">
      <c r="A332" s="396" t="s">
        <v>248</v>
      </c>
      <c r="B332" s="20" t="s">
        <v>150</v>
      </c>
      <c r="C332" s="20" t="s">
        <v>238</v>
      </c>
      <c r="D332" s="20" t="s">
        <v>1314</v>
      </c>
      <c r="E332" s="20" t="s">
        <v>249</v>
      </c>
      <c r="F332" s="10">
        <f t="shared" si="53"/>
        <v>0</v>
      </c>
      <c r="G332" s="10">
        <f t="shared" si="53"/>
        <v>0</v>
      </c>
      <c r="H332" s="389" t="e">
        <f t="shared" si="52"/>
        <v>#DIV/0!</v>
      </c>
    </row>
    <row r="333" spans="1:8" s="191" customFormat="1" ht="31.5" hidden="1" x14ac:dyDescent="0.25">
      <c r="A333" s="396" t="s">
        <v>250</v>
      </c>
      <c r="B333" s="20" t="s">
        <v>150</v>
      </c>
      <c r="C333" s="20" t="s">
        <v>238</v>
      </c>
      <c r="D333" s="20" t="s">
        <v>1314</v>
      </c>
      <c r="E333" s="20" t="s">
        <v>251</v>
      </c>
      <c r="F333" s="10">
        <f>'Пр.4 ведом.21'!G305</f>
        <v>0</v>
      </c>
      <c r="G333" s="10">
        <f>'Пр.4 ведом.21'!H305</f>
        <v>0</v>
      </c>
      <c r="H333" s="389" t="e">
        <f t="shared" si="52"/>
        <v>#DIV/0!</v>
      </c>
    </row>
    <row r="334" spans="1:8" s="191" customFormat="1" ht="31.5" hidden="1" x14ac:dyDescent="0.25">
      <c r="A334" s="394" t="s">
        <v>1041</v>
      </c>
      <c r="B334" s="24" t="s">
        <v>150</v>
      </c>
      <c r="C334" s="24" t="s">
        <v>238</v>
      </c>
      <c r="D334" s="24" t="s">
        <v>1197</v>
      </c>
      <c r="E334" s="24"/>
      <c r="F334" s="59">
        <f t="shared" ref="F334:G336" si="54">F335</f>
        <v>0</v>
      </c>
      <c r="G334" s="59">
        <f t="shared" si="54"/>
        <v>0</v>
      </c>
      <c r="H334" s="389" t="e">
        <f t="shared" si="52"/>
        <v>#DIV/0!</v>
      </c>
    </row>
    <row r="335" spans="1:8" s="191" customFormat="1" ht="31.5" hidden="1" x14ac:dyDescent="0.25">
      <c r="A335" s="396" t="s">
        <v>1042</v>
      </c>
      <c r="B335" s="20" t="s">
        <v>150</v>
      </c>
      <c r="C335" s="20" t="s">
        <v>238</v>
      </c>
      <c r="D335" s="20" t="s">
        <v>1198</v>
      </c>
      <c r="E335" s="20"/>
      <c r="F335" s="10">
        <f t="shared" si="54"/>
        <v>0</v>
      </c>
      <c r="G335" s="10">
        <f t="shared" si="54"/>
        <v>0</v>
      </c>
      <c r="H335" s="389" t="e">
        <f t="shared" si="52"/>
        <v>#DIV/0!</v>
      </c>
    </row>
    <row r="336" spans="1:8" s="191" customFormat="1" ht="15.75" hidden="1" x14ac:dyDescent="0.25">
      <c r="A336" s="396" t="s">
        <v>135</v>
      </c>
      <c r="B336" s="20" t="s">
        <v>150</v>
      </c>
      <c r="C336" s="20" t="s">
        <v>238</v>
      </c>
      <c r="D336" s="20" t="s">
        <v>1198</v>
      </c>
      <c r="E336" s="20" t="s">
        <v>145</v>
      </c>
      <c r="F336" s="10">
        <f t="shared" si="54"/>
        <v>0</v>
      </c>
      <c r="G336" s="10">
        <f t="shared" si="54"/>
        <v>0</v>
      </c>
      <c r="H336" s="389" t="e">
        <f t="shared" si="52"/>
        <v>#DIV/0!</v>
      </c>
    </row>
    <row r="337" spans="1:8" s="191" customFormat="1" ht="47.25" hidden="1" x14ac:dyDescent="0.25">
      <c r="A337" s="396" t="s">
        <v>184</v>
      </c>
      <c r="B337" s="20" t="s">
        <v>150</v>
      </c>
      <c r="C337" s="20" t="s">
        <v>238</v>
      </c>
      <c r="D337" s="20" t="s">
        <v>1198</v>
      </c>
      <c r="E337" s="20" t="s">
        <v>160</v>
      </c>
      <c r="F337" s="10">
        <f>'Пр.4 ведом.21'!G309</f>
        <v>0</v>
      </c>
      <c r="G337" s="10">
        <f>'Пр.4 ведом.21'!H309</f>
        <v>0</v>
      </c>
      <c r="H337" s="389" t="e">
        <f t="shared" si="52"/>
        <v>#DIV/0!</v>
      </c>
    </row>
    <row r="338" spans="1:8" s="191" customFormat="1" ht="31.5" hidden="1" x14ac:dyDescent="0.25">
      <c r="A338" s="394" t="s">
        <v>994</v>
      </c>
      <c r="B338" s="24" t="s">
        <v>150</v>
      </c>
      <c r="C338" s="24" t="s">
        <v>238</v>
      </c>
      <c r="D338" s="24" t="s">
        <v>1307</v>
      </c>
      <c r="E338" s="24"/>
      <c r="F338" s="59">
        <f t="shared" ref="F338:G340" si="55">F339</f>
        <v>0</v>
      </c>
      <c r="G338" s="59">
        <f t="shared" si="55"/>
        <v>0</v>
      </c>
      <c r="H338" s="389" t="e">
        <f t="shared" si="52"/>
        <v>#DIV/0!</v>
      </c>
    </row>
    <row r="339" spans="1:8" s="191" customFormat="1" ht="31.5" hidden="1" x14ac:dyDescent="0.25">
      <c r="A339" s="234" t="s">
        <v>1044</v>
      </c>
      <c r="B339" s="20" t="s">
        <v>150</v>
      </c>
      <c r="C339" s="20" t="s">
        <v>238</v>
      </c>
      <c r="D339" s="20" t="s">
        <v>1308</v>
      </c>
      <c r="E339" s="20"/>
      <c r="F339" s="10">
        <f t="shared" si="55"/>
        <v>0</v>
      </c>
      <c r="G339" s="10">
        <f t="shared" si="55"/>
        <v>0</v>
      </c>
      <c r="H339" s="389" t="e">
        <f t="shared" si="52"/>
        <v>#DIV/0!</v>
      </c>
    </row>
    <row r="340" spans="1:8" s="191" customFormat="1" ht="31.5" hidden="1" x14ac:dyDescent="0.25">
      <c r="A340" s="396" t="s">
        <v>131</v>
      </c>
      <c r="B340" s="20" t="s">
        <v>150</v>
      </c>
      <c r="C340" s="20" t="s">
        <v>238</v>
      </c>
      <c r="D340" s="20" t="s">
        <v>1308</v>
      </c>
      <c r="E340" s="20" t="s">
        <v>132</v>
      </c>
      <c r="F340" s="10">
        <f t="shared" si="55"/>
        <v>0</v>
      </c>
      <c r="G340" s="10">
        <f t="shared" si="55"/>
        <v>0</v>
      </c>
      <c r="H340" s="389" t="e">
        <f t="shared" si="52"/>
        <v>#DIV/0!</v>
      </c>
    </row>
    <row r="341" spans="1:8" s="191" customFormat="1" ht="31.5" hidden="1" x14ac:dyDescent="0.25">
      <c r="A341" s="396" t="s">
        <v>133</v>
      </c>
      <c r="B341" s="20" t="s">
        <v>150</v>
      </c>
      <c r="C341" s="20" t="s">
        <v>238</v>
      </c>
      <c r="D341" s="20" t="s">
        <v>1308</v>
      </c>
      <c r="E341" s="20" t="s">
        <v>134</v>
      </c>
      <c r="F341" s="10">
        <f>'Пр.4 ведом.21'!G313</f>
        <v>0</v>
      </c>
      <c r="G341" s="10">
        <f>'Пр.4 ведом.21'!H313</f>
        <v>0</v>
      </c>
      <c r="H341" s="389" t="e">
        <f t="shared" si="52"/>
        <v>#DIV/0!</v>
      </c>
    </row>
    <row r="342" spans="1:8" s="191" customFormat="1" ht="31.5" hidden="1" x14ac:dyDescent="0.25">
      <c r="A342" s="402" t="s">
        <v>1103</v>
      </c>
      <c r="B342" s="24" t="s">
        <v>150</v>
      </c>
      <c r="C342" s="24" t="s">
        <v>238</v>
      </c>
      <c r="D342" s="24" t="s">
        <v>1199</v>
      </c>
      <c r="E342" s="24"/>
      <c r="F342" s="21">
        <f t="shared" ref="F342:G344" si="56">F343</f>
        <v>0</v>
      </c>
      <c r="G342" s="393">
        <f t="shared" si="56"/>
        <v>0</v>
      </c>
      <c r="H342" s="389" t="e">
        <f t="shared" si="52"/>
        <v>#DIV/0!</v>
      </c>
    </row>
    <row r="343" spans="1:8" s="191" customFormat="1" ht="31.5" hidden="1" x14ac:dyDescent="0.25">
      <c r="A343" s="215" t="s">
        <v>1104</v>
      </c>
      <c r="B343" s="20" t="s">
        <v>150</v>
      </c>
      <c r="C343" s="20" t="s">
        <v>238</v>
      </c>
      <c r="D343" s="20" t="s">
        <v>1200</v>
      </c>
      <c r="E343" s="20"/>
      <c r="F343" s="26">
        <f t="shared" si="56"/>
        <v>0</v>
      </c>
      <c r="G343" s="397">
        <f t="shared" si="56"/>
        <v>0</v>
      </c>
      <c r="H343" s="389" t="e">
        <f t="shared" si="52"/>
        <v>#DIV/0!</v>
      </c>
    </row>
    <row r="344" spans="1:8" s="191" customFormat="1" ht="31.5" hidden="1" x14ac:dyDescent="0.25">
      <c r="A344" s="396" t="s">
        <v>131</v>
      </c>
      <c r="B344" s="20" t="s">
        <v>150</v>
      </c>
      <c r="C344" s="20" t="s">
        <v>238</v>
      </c>
      <c r="D344" s="20" t="s">
        <v>1200</v>
      </c>
      <c r="E344" s="20" t="s">
        <v>132</v>
      </c>
      <c r="F344" s="26">
        <f t="shared" si="56"/>
        <v>0</v>
      </c>
      <c r="G344" s="397">
        <f t="shared" si="56"/>
        <v>0</v>
      </c>
      <c r="H344" s="389" t="e">
        <f t="shared" si="52"/>
        <v>#DIV/0!</v>
      </c>
    </row>
    <row r="345" spans="1:8" s="191" customFormat="1" ht="31.5" hidden="1" x14ac:dyDescent="0.25">
      <c r="A345" s="396" t="s">
        <v>133</v>
      </c>
      <c r="B345" s="20" t="s">
        <v>150</v>
      </c>
      <c r="C345" s="20" t="s">
        <v>238</v>
      </c>
      <c r="D345" s="20" t="s">
        <v>1200</v>
      </c>
      <c r="E345" s="20" t="s">
        <v>134</v>
      </c>
      <c r="F345" s="26">
        <f>'Пр.4 ведом.21'!G317</f>
        <v>0</v>
      </c>
      <c r="G345" s="397">
        <f>'Пр.4 ведом.21'!H317</f>
        <v>0</v>
      </c>
      <c r="H345" s="389" t="e">
        <f t="shared" si="52"/>
        <v>#DIV/0!</v>
      </c>
    </row>
    <row r="346" spans="1:8" ht="47.25" x14ac:dyDescent="0.25">
      <c r="A346" s="394" t="s">
        <v>1335</v>
      </c>
      <c r="B346" s="24" t="s">
        <v>150</v>
      </c>
      <c r="C346" s="24" t="s">
        <v>238</v>
      </c>
      <c r="D346" s="24" t="s">
        <v>156</v>
      </c>
      <c r="E346" s="24"/>
      <c r="F346" s="59">
        <f t="shared" ref="F346:G349" si="57">F347</f>
        <v>100</v>
      </c>
      <c r="G346" s="59">
        <f t="shared" si="57"/>
        <v>100</v>
      </c>
      <c r="H346" s="492">
        <f t="shared" si="52"/>
        <v>100</v>
      </c>
    </row>
    <row r="347" spans="1:8" ht="47.25" x14ac:dyDescent="0.25">
      <c r="A347" s="394" t="s">
        <v>1065</v>
      </c>
      <c r="B347" s="24" t="s">
        <v>150</v>
      </c>
      <c r="C347" s="24" t="s">
        <v>238</v>
      </c>
      <c r="D347" s="24" t="s">
        <v>1062</v>
      </c>
      <c r="E347" s="24"/>
      <c r="F347" s="59">
        <f t="shared" si="57"/>
        <v>100</v>
      </c>
      <c r="G347" s="59">
        <f t="shared" si="57"/>
        <v>100</v>
      </c>
      <c r="H347" s="492">
        <f t="shared" si="52"/>
        <v>100</v>
      </c>
    </row>
    <row r="348" spans="1:8" ht="31.5" x14ac:dyDescent="0.25">
      <c r="A348" s="396" t="s">
        <v>1066</v>
      </c>
      <c r="B348" s="20" t="s">
        <v>150</v>
      </c>
      <c r="C348" s="20" t="s">
        <v>238</v>
      </c>
      <c r="D348" s="20" t="s">
        <v>1063</v>
      </c>
      <c r="E348" s="20"/>
      <c r="F348" s="10">
        <f t="shared" si="57"/>
        <v>100</v>
      </c>
      <c r="G348" s="10">
        <f t="shared" si="57"/>
        <v>100</v>
      </c>
      <c r="H348" s="389">
        <f t="shared" si="52"/>
        <v>100</v>
      </c>
    </row>
    <row r="349" spans="1:8" ht="15.75" x14ac:dyDescent="0.25">
      <c r="A349" s="396" t="s">
        <v>135</v>
      </c>
      <c r="B349" s="20" t="s">
        <v>150</v>
      </c>
      <c r="C349" s="20" t="s">
        <v>238</v>
      </c>
      <c r="D349" s="20" t="s">
        <v>1063</v>
      </c>
      <c r="E349" s="20" t="s">
        <v>145</v>
      </c>
      <c r="F349" s="10">
        <f t="shared" si="57"/>
        <v>100</v>
      </c>
      <c r="G349" s="10">
        <f t="shared" si="57"/>
        <v>100</v>
      </c>
      <c r="H349" s="389">
        <f t="shared" si="52"/>
        <v>100</v>
      </c>
    </row>
    <row r="350" spans="1:8" ht="47.25" x14ac:dyDescent="0.25">
      <c r="A350" s="396" t="s">
        <v>184</v>
      </c>
      <c r="B350" s="20" t="s">
        <v>150</v>
      </c>
      <c r="C350" s="20" t="s">
        <v>238</v>
      </c>
      <c r="D350" s="20" t="s">
        <v>1063</v>
      </c>
      <c r="E350" s="20" t="s">
        <v>160</v>
      </c>
      <c r="F350" s="10">
        <f>'Пр.4 ведом.21'!G237</f>
        <v>100</v>
      </c>
      <c r="G350" s="10">
        <f>'Пр.4 ведом.21'!H237</f>
        <v>100</v>
      </c>
      <c r="H350" s="389">
        <f t="shared" si="52"/>
        <v>100</v>
      </c>
    </row>
    <row r="351" spans="1:8" ht="15.75" x14ac:dyDescent="0.25">
      <c r="A351" s="394" t="s">
        <v>390</v>
      </c>
      <c r="B351" s="24" t="s">
        <v>234</v>
      </c>
      <c r="C351" s="24"/>
      <c r="D351" s="24"/>
      <c r="E351" s="24"/>
      <c r="F351" s="4">
        <f>F352++F369+F438+F500</f>
        <v>201358.07167999999</v>
      </c>
      <c r="G351" s="388">
        <f>G352++G369+G438+G500</f>
        <v>192991.54300000001</v>
      </c>
      <c r="H351" s="492">
        <f t="shared" si="52"/>
        <v>95.844949939083563</v>
      </c>
    </row>
    <row r="352" spans="1:8" ht="15.75" x14ac:dyDescent="0.25">
      <c r="A352" s="394" t="s">
        <v>391</v>
      </c>
      <c r="B352" s="24" t="s">
        <v>234</v>
      </c>
      <c r="C352" s="24" t="s">
        <v>118</v>
      </c>
      <c r="D352" s="24"/>
      <c r="E352" s="24"/>
      <c r="F352" s="4">
        <f t="shared" ref="F352:G353" si="58">F353</f>
        <v>23849.203469999997</v>
      </c>
      <c r="G352" s="388">
        <f t="shared" si="58"/>
        <v>23441.882999999998</v>
      </c>
      <c r="H352" s="492">
        <f t="shared" si="52"/>
        <v>98.292100318937827</v>
      </c>
    </row>
    <row r="353" spans="1:8" ht="15.75" x14ac:dyDescent="0.25">
      <c r="A353" s="394" t="s">
        <v>141</v>
      </c>
      <c r="B353" s="24" t="s">
        <v>234</v>
      </c>
      <c r="C353" s="24" t="s">
        <v>118</v>
      </c>
      <c r="D353" s="24" t="s">
        <v>865</v>
      </c>
      <c r="E353" s="24"/>
      <c r="F353" s="4">
        <f t="shared" si="58"/>
        <v>23849.203469999997</v>
      </c>
      <c r="G353" s="388">
        <f t="shared" si="58"/>
        <v>23441.882999999998</v>
      </c>
      <c r="H353" s="492">
        <f t="shared" si="52"/>
        <v>98.292100318937827</v>
      </c>
    </row>
    <row r="354" spans="1:8" ht="31.5" x14ac:dyDescent="0.25">
      <c r="A354" s="394" t="s">
        <v>869</v>
      </c>
      <c r="B354" s="24" t="s">
        <v>234</v>
      </c>
      <c r="C354" s="24" t="s">
        <v>118</v>
      </c>
      <c r="D354" s="24" t="s">
        <v>864</v>
      </c>
      <c r="E354" s="24"/>
      <c r="F354" s="4">
        <f>F355+F360+F363+F366</f>
        <v>23849.203469999997</v>
      </c>
      <c r="G354" s="388">
        <f>G355+G360+G363+G366</f>
        <v>23441.882999999998</v>
      </c>
      <c r="H354" s="492">
        <f t="shared" si="52"/>
        <v>98.292100318937827</v>
      </c>
    </row>
    <row r="355" spans="1:8" ht="15.75" x14ac:dyDescent="0.25">
      <c r="A355" s="396" t="s">
        <v>515</v>
      </c>
      <c r="B355" s="20" t="s">
        <v>774</v>
      </c>
      <c r="C355" s="20" t="s">
        <v>118</v>
      </c>
      <c r="D355" s="20" t="s">
        <v>959</v>
      </c>
      <c r="E355" s="24"/>
      <c r="F355" s="6">
        <f t="shared" ref="F355:G355" si="59">F356+F358</f>
        <v>883.40000000000009</v>
      </c>
      <c r="G355" s="389">
        <f t="shared" si="59"/>
        <v>687.2</v>
      </c>
      <c r="H355" s="389">
        <f t="shared" si="52"/>
        <v>77.790355444872077</v>
      </c>
    </row>
    <row r="356" spans="1:8" ht="31.5" x14ac:dyDescent="0.25">
      <c r="A356" s="396" t="s">
        <v>131</v>
      </c>
      <c r="B356" s="20" t="s">
        <v>234</v>
      </c>
      <c r="C356" s="20" t="s">
        <v>118</v>
      </c>
      <c r="D356" s="20" t="s">
        <v>959</v>
      </c>
      <c r="E356" s="20" t="s">
        <v>132</v>
      </c>
      <c r="F356" s="6">
        <f t="shared" ref="F356:G356" si="60">F357</f>
        <v>883.40000000000009</v>
      </c>
      <c r="G356" s="389">
        <f t="shared" si="60"/>
        <v>687.2</v>
      </c>
      <c r="H356" s="389">
        <f t="shared" si="52"/>
        <v>77.790355444872077</v>
      </c>
    </row>
    <row r="357" spans="1:8" ht="31.5" x14ac:dyDescent="0.25">
      <c r="A357" s="396" t="s">
        <v>133</v>
      </c>
      <c r="B357" s="20" t="s">
        <v>234</v>
      </c>
      <c r="C357" s="20" t="s">
        <v>118</v>
      </c>
      <c r="D357" s="20" t="s">
        <v>959</v>
      </c>
      <c r="E357" s="20" t="s">
        <v>134</v>
      </c>
      <c r="F357" s="6">
        <f>'Пр.4 ведом.21'!G1013</f>
        <v>883.40000000000009</v>
      </c>
      <c r="G357" s="389">
        <f>'Пр.4 ведом.21'!H1013</f>
        <v>687.2</v>
      </c>
      <c r="H357" s="389">
        <f t="shared" si="52"/>
        <v>77.790355444872077</v>
      </c>
    </row>
    <row r="358" spans="1:8" ht="15.75" hidden="1" x14ac:dyDescent="0.25">
      <c r="A358" s="396" t="s">
        <v>135</v>
      </c>
      <c r="B358" s="20" t="s">
        <v>234</v>
      </c>
      <c r="C358" s="20" t="s">
        <v>118</v>
      </c>
      <c r="D358" s="20" t="s">
        <v>959</v>
      </c>
      <c r="E358" s="20" t="s">
        <v>145</v>
      </c>
      <c r="F358" s="6">
        <f t="shared" ref="F358:G358" si="61">F359</f>
        <v>0</v>
      </c>
      <c r="G358" s="389">
        <f t="shared" si="61"/>
        <v>0</v>
      </c>
      <c r="H358" s="389" t="e">
        <f t="shared" si="52"/>
        <v>#DIV/0!</v>
      </c>
    </row>
    <row r="359" spans="1:8" ht="47.25" hidden="1" x14ac:dyDescent="0.25">
      <c r="A359" s="396" t="s">
        <v>184</v>
      </c>
      <c r="B359" s="20" t="s">
        <v>234</v>
      </c>
      <c r="C359" s="20" t="s">
        <v>118</v>
      </c>
      <c r="D359" s="20" t="s">
        <v>959</v>
      </c>
      <c r="E359" s="20" t="s">
        <v>160</v>
      </c>
      <c r="F359" s="6">
        <f>'Пр.4 ведом.21'!G1015</f>
        <v>0</v>
      </c>
      <c r="G359" s="389">
        <f>'Пр.4 ведом.21'!H1015</f>
        <v>0</v>
      </c>
      <c r="H359" s="389" t="e">
        <f t="shared" si="52"/>
        <v>#DIV/0!</v>
      </c>
    </row>
    <row r="360" spans="1:8" ht="31.5" x14ac:dyDescent="0.25">
      <c r="A360" s="29" t="s">
        <v>398</v>
      </c>
      <c r="B360" s="20" t="s">
        <v>234</v>
      </c>
      <c r="C360" s="20" t="s">
        <v>118</v>
      </c>
      <c r="D360" s="20" t="s">
        <v>960</v>
      </c>
      <c r="E360" s="24"/>
      <c r="F360" s="6">
        <f t="shared" ref="F360:G361" si="62">F361</f>
        <v>4960.3999999999996</v>
      </c>
      <c r="G360" s="389">
        <f t="shared" si="62"/>
        <v>4749.4089999999997</v>
      </c>
      <c r="H360" s="389">
        <f t="shared" si="52"/>
        <v>95.746492218369482</v>
      </c>
    </row>
    <row r="361" spans="1:8" ht="31.5" x14ac:dyDescent="0.25">
      <c r="A361" s="396" t="s">
        <v>131</v>
      </c>
      <c r="B361" s="20" t="s">
        <v>234</v>
      </c>
      <c r="C361" s="20" t="s">
        <v>118</v>
      </c>
      <c r="D361" s="20" t="s">
        <v>960</v>
      </c>
      <c r="E361" s="20" t="s">
        <v>132</v>
      </c>
      <c r="F361" s="6">
        <f t="shared" si="62"/>
        <v>4960.3999999999996</v>
      </c>
      <c r="G361" s="389">
        <f t="shared" si="62"/>
        <v>4749.4089999999997</v>
      </c>
      <c r="H361" s="389">
        <f t="shared" si="52"/>
        <v>95.746492218369482</v>
      </c>
    </row>
    <row r="362" spans="1:8" ht="31.5" x14ac:dyDescent="0.25">
      <c r="A362" s="396" t="s">
        <v>133</v>
      </c>
      <c r="B362" s="20" t="s">
        <v>234</v>
      </c>
      <c r="C362" s="20" t="s">
        <v>118</v>
      </c>
      <c r="D362" s="20" t="s">
        <v>960</v>
      </c>
      <c r="E362" s="20" t="s">
        <v>134</v>
      </c>
      <c r="F362" s="494">
        <f>'Пр.4 ведом.21'!G611+'Пр.4 ведом.21'!G1018</f>
        <v>4960.3999999999996</v>
      </c>
      <c r="G362" s="389">
        <f>'Пр.4 ведом.21'!H611+'Пр.4 ведом.21'!H1018</f>
        <v>4749.4089999999997</v>
      </c>
      <c r="H362" s="389">
        <f t="shared" si="52"/>
        <v>95.746492218369482</v>
      </c>
    </row>
    <row r="363" spans="1:8" ht="31.5" x14ac:dyDescent="0.25">
      <c r="A363" s="29" t="s">
        <v>931</v>
      </c>
      <c r="B363" s="20" t="s">
        <v>234</v>
      </c>
      <c r="C363" s="20" t="s">
        <v>118</v>
      </c>
      <c r="D363" s="20" t="s">
        <v>961</v>
      </c>
      <c r="E363" s="24"/>
      <c r="F363" s="6">
        <f>F364</f>
        <v>1156.3000000000002</v>
      </c>
      <c r="G363" s="389">
        <f>G364</f>
        <v>1156.261</v>
      </c>
      <c r="H363" s="389">
        <f t="shared" si="52"/>
        <v>99.996627172878988</v>
      </c>
    </row>
    <row r="364" spans="1:8" ht="31.5" x14ac:dyDescent="0.25">
      <c r="A364" s="396" t="s">
        <v>131</v>
      </c>
      <c r="B364" s="20" t="s">
        <v>234</v>
      </c>
      <c r="C364" s="20" t="s">
        <v>118</v>
      </c>
      <c r="D364" s="20" t="s">
        <v>961</v>
      </c>
      <c r="E364" s="20" t="s">
        <v>132</v>
      </c>
      <c r="F364" s="6">
        <f>F365</f>
        <v>1156.3000000000002</v>
      </c>
      <c r="G364" s="389">
        <f>G365</f>
        <v>1156.261</v>
      </c>
      <c r="H364" s="389">
        <f t="shared" si="52"/>
        <v>99.996627172878988</v>
      </c>
    </row>
    <row r="365" spans="1:8" ht="31.5" x14ac:dyDescent="0.25">
      <c r="A365" s="396" t="s">
        <v>133</v>
      </c>
      <c r="B365" s="20" t="s">
        <v>234</v>
      </c>
      <c r="C365" s="20" t="s">
        <v>118</v>
      </c>
      <c r="D365" s="20" t="s">
        <v>961</v>
      </c>
      <c r="E365" s="20" t="s">
        <v>134</v>
      </c>
      <c r="F365" s="494">
        <f>'Пр.4 ведом.21'!G1021+'Пр.4 ведом.21'!G614</f>
        <v>1156.3000000000002</v>
      </c>
      <c r="G365" s="389">
        <f>'Пр.4 ведом.21'!H1021+'Пр.4 ведом.21'!H614</f>
        <v>1156.261</v>
      </c>
      <c r="H365" s="389">
        <f t="shared" si="52"/>
        <v>99.996627172878988</v>
      </c>
    </row>
    <row r="366" spans="1:8" s="377" customFormat="1" ht="31.5" x14ac:dyDescent="0.25">
      <c r="A366" s="396" t="s">
        <v>1540</v>
      </c>
      <c r="B366" s="379" t="s">
        <v>234</v>
      </c>
      <c r="C366" s="379" t="s">
        <v>118</v>
      </c>
      <c r="D366" s="379" t="s">
        <v>1541</v>
      </c>
      <c r="E366" s="379"/>
      <c r="F366" s="378">
        <f>F367</f>
        <v>16849.103469999998</v>
      </c>
      <c r="G366" s="389">
        <f>G367</f>
        <v>16849.012999999999</v>
      </c>
      <c r="H366" s="389">
        <f t="shared" si="52"/>
        <v>99.999463057484576</v>
      </c>
    </row>
    <row r="367" spans="1:8" s="377" customFormat="1" ht="31.5" x14ac:dyDescent="0.25">
      <c r="A367" s="396" t="s">
        <v>131</v>
      </c>
      <c r="B367" s="379" t="s">
        <v>234</v>
      </c>
      <c r="C367" s="379" t="s">
        <v>118</v>
      </c>
      <c r="D367" s="379" t="s">
        <v>1541</v>
      </c>
      <c r="E367" s="379" t="s">
        <v>132</v>
      </c>
      <c r="F367" s="378">
        <f>F368</f>
        <v>16849.103469999998</v>
      </c>
      <c r="G367" s="389">
        <f>G368</f>
        <v>16849.012999999999</v>
      </c>
      <c r="H367" s="389">
        <f t="shared" si="52"/>
        <v>99.999463057484576</v>
      </c>
    </row>
    <row r="368" spans="1:8" s="377" customFormat="1" ht="31.5" x14ac:dyDescent="0.25">
      <c r="A368" s="396" t="s">
        <v>133</v>
      </c>
      <c r="B368" s="379" t="s">
        <v>234</v>
      </c>
      <c r="C368" s="379" t="s">
        <v>118</v>
      </c>
      <c r="D368" s="379" t="s">
        <v>1541</v>
      </c>
      <c r="E368" s="379" t="s">
        <v>134</v>
      </c>
      <c r="F368" s="378">
        <f>'Пр.4 ведом.21'!G1024</f>
        <v>16849.103469999998</v>
      </c>
      <c r="G368" s="389">
        <f>'Пр.4 ведом.21'!H1024</f>
        <v>16849.012999999999</v>
      </c>
      <c r="H368" s="389">
        <f t="shared" si="52"/>
        <v>99.999463057484576</v>
      </c>
    </row>
    <row r="369" spans="1:8" ht="15.75" x14ac:dyDescent="0.25">
      <c r="A369" s="394" t="s">
        <v>517</v>
      </c>
      <c r="B369" s="24" t="s">
        <v>234</v>
      </c>
      <c r="C369" s="24" t="s">
        <v>213</v>
      </c>
      <c r="D369" s="24"/>
      <c r="E369" s="24"/>
      <c r="F369" s="4">
        <f>F400+F370+F433</f>
        <v>92512.65241000001</v>
      </c>
      <c r="G369" s="388">
        <f>G400+G370+G433</f>
        <v>87376.1</v>
      </c>
      <c r="H369" s="492">
        <f t="shared" si="52"/>
        <v>94.4477298226888</v>
      </c>
    </row>
    <row r="370" spans="1:8" ht="15.75" x14ac:dyDescent="0.25">
      <c r="A370" s="394" t="s">
        <v>141</v>
      </c>
      <c r="B370" s="24" t="s">
        <v>234</v>
      </c>
      <c r="C370" s="24" t="s">
        <v>213</v>
      </c>
      <c r="D370" s="24" t="s">
        <v>865</v>
      </c>
      <c r="E370" s="24"/>
      <c r="F370" s="4">
        <f>F371+F383</f>
        <v>35452.059700000005</v>
      </c>
      <c r="G370" s="388">
        <f>G371+G383</f>
        <v>30413.119999999999</v>
      </c>
      <c r="H370" s="492">
        <f t="shared" si="52"/>
        <v>85.78660945897029</v>
      </c>
    </row>
    <row r="371" spans="1:8" ht="33" customHeight="1" x14ac:dyDescent="0.25">
      <c r="A371" s="394" t="s">
        <v>869</v>
      </c>
      <c r="B371" s="24" t="s">
        <v>234</v>
      </c>
      <c r="C371" s="24" t="s">
        <v>213</v>
      </c>
      <c r="D371" s="24" t="s">
        <v>864</v>
      </c>
      <c r="E371" s="24"/>
      <c r="F371" s="4">
        <f>F372+F378</f>
        <v>30145.010000000002</v>
      </c>
      <c r="G371" s="388">
        <f>G372+G378</f>
        <v>25106.071</v>
      </c>
      <c r="H371" s="492">
        <f t="shared" si="52"/>
        <v>83.28433462121923</v>
      </c>
    </row>
    <row r="372" spans="1:8" ht="17.45" customHeight="1" x14ac:dyDescent="0.25">
      <c r="A372" s="35" t="s">
        <v>537</v>
      </c>
      <c r="B372" s="20" t="s">
        <v>234</v>
      </c>
      <c r="C372" s="20" t="s">
        <v>213</v>
      </c>
      <c r="D372" s="20" t="s">
        <v>978</v>
      </c>
      <c r="E372" s="20"/>
      <c r="F372" s="6">
        <f>F373+F375</f>
        <v>7029.3000000000029</v>
      </c>
      <c r="G372" s="389">
        <f>G373+G375</f>
        <v>1990.38</v>
      </c>
      <c r="H372" s="389">
        <f t="shared" si="52"/>
        <v>28.315479492979378</v>
      </c>
    </row>
    <row r="373" spans="1:8" ht="35.450000000000003" customHeight="1" x14ac:dyDescent="0.25">
      <c r="A373" s="396" t="s">
        <v>131</v>
      </c>
      <c r="B373" s="20" t="s">
        <v>234</v>
      </c>
      <c r="C373" s="20" t="s">
        <v>213</v>
      </c>
      <c r="D373" s="20" t="s">
        <v>978</v>
      </c>
      <c r="E373" s="20" t="s">
        <v>132</v>
      </c>
      <c r="F373" s="6">
        <f>F374</f>
        <v>7029.3000000000029</v>
      </c>
      <c r="G373" s="389">
        <f>G374</f>
        <v>1990.38</v>
      </c>
      <c r="H373" s="389">
        <f t="shared" si="52"/>
        <v>28.315479492979378</v>
      </c>
    </row>
    <row r="374" spans="1:8" ht="31.5" x14ac:dyDescent="0.25">
      <c r="A374" s="396" t="s">
        <v>133</v>
      </c>
      <c r="B374" s="20" t="s">
        <v>234</v>
      </c>
      <c r="C374" s="20" t="s">
        <v>213</v>
      </c>
      <c r="D374" s="20" t="s">
        <v>978</v>
      </c>
      <c r="E374" s="20" t="s">
        <v>134</v>
      </c>
      <c r="F374" s="6">
        <f>'Пр.4 ведом.21'!G1030</f>
        <v>7029.3000000000029</v>
      </c>
      <c r="G374" s="389">
        <f>'Пр.4 ведом.21'!H1030</f>
        <v>1990.38</v>
      </c>
      <c r="H374" s="389">
        <f t="shared" si="52"/>
        <v>28.315479492979378</v>
      </c>
    </row>
    <row r="375" spans="1:8" ht="15.75" hidden="1" x14ac:dyDescent="0.25">
      <c r="A375" s="396" t="s">
        <v>135</v>
      </c>
      <c r="B375" s="20" t="s">
        <v>234</v>
      </c>
      <c r="C375" s="20" t="s">
        <v>213</v>
      </c>
      <c r="D375" s="20" t="s">
        <v>978</v>
      </c>
      <c r="E375" s="20" t="s">
        <v>145</v>
      </c>
      <c r="F375" s="6">
        <f>F376+F377</f>
        <v>0</v>
      </c>
      <c r="G375" s="389">
        <f>G376+G377</f>
        <v>0</v>
      </c>
      <c r="H375" s="389" t="e">
        <f t="shared" si="52"/>
        <v>#DIV/0!</v>
      </c>
    </row>
    <row r="376" spans="1:8" ht="47.25" hidden="1" x14ac:dyDescent="0.25">
      <c r="A376" s="396" t="s">
        <v>184</v>
      </c>
      <c r="B376" s="20" t="s">
        <v>234</v>
      </c>
      <c r="C376" s="20" t="s">
        <v>213</v>
      </c>
      <c r="D376" s="20" t="s">
        <v>978</v>
      </c>
      <c r="E376" s="20" t="s">
        <v>160</v>
      </c>
      <c r="F376" s="6">
        <f>'Пр.4 ведом.21'!G1032</f>
        <v>0</v>
      </c>
      <c r="G376" s="389">
        <f>'Пр.4 ведом.21'!H1032</f>
        <v>0</v>
      </c>
      <c r="H376" s="389" t="e">
        <f t="shared" si="52"/>
        <v>#DIV/0!</v>
      </c>
    </row>
    <row r="377" spans="1:8" s="191" customFormat="1" ht="15.75" hidden="1" x14ac:dyDescent="0.25">
      <c r="A377" s="396" t="s">
        <v>1189</v>
      </c>
      <c r="B377" s="20" t="s">
        <v>234</v>
      </c>
      <c r="C377" s="20" t="s">
        <v>213</v>
      </c>
      <c r="D377" s="20" t="s">
        <v>978</v>
      </c>
      <c r="E377" s="20" t="s">
        <v>147</v>
      </c>
      <c r="F377" s="6">
        <f>'Пр.4 ведом.21'!G1033</f>
        <v>0</v>
      </c>
      <c r="G377" s="389">
        <f>'Пр.4 ведом.21'!H1033</f>
        <v>0</v>
      </c>
      <c r="H377" s="389" t="e">
        <f t="shared" si="52"/>
        <v>#DIV/0!</v>
      </c>
    </row>
    <row r="378" spans="1:8" ht="31.5" x14ac:dyDescent="0.25">
      <c r="A378" s="29" t="s">
        <v>931</v>
      </c>
      <c r="B378" s="20" t="s">
        <v>234</v>
      </c>
      <c r="C378" s="20" t="s">
        <v>213</v>
      </c>
      <c r="D378" s="20" t="s">
        <v>961</v>
      </c>
      <c r="E378" s="20"/>
      <c r="F378" s="6">
        <f>F379+F381</f>
        <v>23115.71</v>
      </c>
      <c r="G378" s="389">
        <f>G379+G381</f>
        <v>23115.690999999999</v>
      </c>
      <c r="H378" s="389">
        <f t="shared" si="52"/>
        <v>99.999917804817585</v>
      </c>
    </row>
    <row r="379" spans="1:8" ht="31.5" x14ac:dyDescent="0.25">
      <c r="A379" s="396" t="s">
        <v>131</v>
      </c>
      <c r="B379" s="20" t="s">
        <v>234</v>
      </c>
      <c r="C379" s="20" t="s">
        <v>213</v>
      </c>
      <c r="D379" s="20" t="s">
        <v>961</v>
      </c>
      <c r="E379" s="20" t="s">
        <v>132</v>
      </c>
      <c r="F379" s="6">
        <f t="shared" ref="F379:G379" si="63">F380</f>
        <v>23065.71</v>
      </c>
      <c r="G379" s="389">
        <f t="shared" si="63"/>
        <v>23065.690999999999</v>
      </c>
      <c r="H379" s="389">
        <f t="shared" si="52"/>
        <v>99.999917626641448</v>
      </c>
    </row>
    <row r="380" spans="1:8" ht="31.5" x14ac:dyDescent="0.25">
      <c r="A380" s="396" t="s">
        <v>133</v>
      </c>
      <c r="B380" s="20" t="s">
        <v>234</v>
      </c>
      <c r="C380" s="20" t="s">
        <v>213</v>
      </c>
      <c r="D380" s="20" t="s">
        <v>961</v>
      </c>
      <c r="E380" s="20" t="s">
        <v>134</v>
      </c>
      <c r="F380" s="6">
        <f>'Пр.4 ведом.21'!G1036</f>
        <v>23065.71</v>
      </c>
      <c r="G380" s="389">
        <f>'Пр.4 ведом.21'!H1036</f>
        <v>23065.690999999999</v>
      </c>
      <c r="H380" s="389">
        <f t="shared" si="52"/>
        <v>99.999917626641448</v>
      </c>
    </row>
    <row r="381" spans="1:8" ht="15.75" x14ac:dyDescent="0.25">
      <c r="A381" s="396" t="s">
        <v>135</v>
      </c>
      <c r="B381" s="20" t="s">
        <v>234</v>
      </c>
      <c r="C381" s="20" t="s">
        <v>213</v>
      </c>
      <c r="D381" s="20" t="s">
        <v>961</v>
      </c>
      <c r="E381" s="20" t="s">
        <v>145</v>
      </c>
      <c r="F381" s="6">
        <f>F382</f>
        <v>50</v>
      </c>
      <c r="G381" s="389">
        <f>G382</f>
        <v>50</v>
      </c>
      <c r="H381" s="389">
        <f t="shared" si="52"/>
        <v>100</v>
      </c>
    </row>
    <row r="382" spans="1:8" ht="15.75" x14ac:dyDescent="0.25">
      <c r="A382" s="396" t="s">
        <v>146</v>
      </c>
      <c r="B382" s="20" t="s">
        <v>234</v>
      </c>
      <c r="C382" s="20" t="s">
        <v>213</v>
      </c>
      <c r="D382" s="20" t="s">
        <v>961</v>
      </c>
      <c r="E382" s="20" t="s">
        <v>147</v>
      </c>
      <c r="F382" s="6">
        <f>'Пр.4 ведом.21'!G1038</f>
        <v>50</v>
      </c>
      <c r="G382" s="389">
        <f>'Пр.4 ведом.21'!H1038</f>
        <v>50</v>
      </c>
      <c r="H382" s="389">
        <f t="shared" si="52"/>
        <v>100</v>
      </c>
    </row>
    <row r="383" spans="1:8" ht="47.25" x14ac:dyDescent="0.25">
      <c r="A383" s="394" t="s">
        <v>1012</v>
      </c>
      <c r="B383" s="24" t="s">
        <v>234</v>
      </c>
      <c r="C383" s="24" t="s">
        <v>213</v>
      </c>
      <c r="D383" s="24" t="s">
        <v>979</v>
      </c>
      <c r="E383" s="24"/>
      <c r="F383" s="4">
        <f>F384+F389+F392+F397</f>
        <v>5307.0497000000032</v>
      </c>
      <c r="G383" s="388">
        <f>G384+G389+G392+G397</f>
        <v>5307.049</v>
      </c>
      <c r="H383" s="492">
        <f t="shared" si="52"/>
        <v>99.99998680999721</v>
      </c>
    </row>
    <row r="384" spans="1:8" ht="47.25" x14ac:dyDescent="0.25">
      <c r="A384" s="396" t="s">
        <v>826</v>
      </c>
      <c r="B384" s="20" t="s">
        <v>234</v>
      </c>
      <c r="C384" s="20" t="s">
        <v>213</v>
      </c>
      <c r="D384" s="20" t="s">
        <v>980</v>
      </c>
      <c r="E384" s="20"/>
      <c r="F384" s="6">
        <f>F385+F387</f>
        <v>5307.0497000000032</v>
      </c>
      <c r="G384" s="389">
        <f>G385+G387</f>
        <v>5307.049</v>
      </c>
      <c r="H384" s="389">
        <f t="shared" si="52"/>
        <v>99.99998680999721</v>
      </c>
    </row>
    <row r="385" spans="1:8" ht="31.5" x14ac:dyDescent="0.25">
      <c r="A385" s="396" t="s">
        <v>131</v>
      </c>
      <c r="B385" s="20" t="s">
        <v>234</v>
      </c>
      <c r="C385" s="20" t="s">
        <v>213</v>
      </c>
      <c r="D385" s="20" t="s">
        <v>980</v>
      </c>
      <c r="E385" s="20" t="s">
        <v>132</v>
      </c>
      <c r="F385" s="6">
        <f>F386</f>
        <v>5307.0497000000032</v>
      </c>
      <c r="G385" s="389">
        <f>G386</f>
        <v>5307.049</v>
      </c>
      <c r="H385" s="389">
        <f t="shared" si="52"/>
        <v>99.99998680999721</v>
      </c>
    </row>
    <row r="386" spans="1:8" ht="31.5" x14ac:dyDescent="0.25">
      <c r="A386" s="396" t="s">
        <v>133</v>
      </c>
      <c r="B386" s="20" t="s">
        <v>234</v>
      </c>
      <c r="C386" s="20" t="s">
        <v>213</v>
      </c>
      <c r="D386" s="20" t="s">
        <v>980</v>
      </c>
      <c r="E386" s="20" t="s">
        <v>134</v>
      </c>
      <c r="F386" s="6">
        <f>'Пр.4 ведом.21'!G1042</f>
        <v>5307.0497000000032</v>
      </c>
      <c r="G386" s="389">
        <f>'Пр.4 ведом.21'!H1042</f>
        <v>5307.049</v>
      </c>
      <c r="H386" s="389">
        <f t="shared" si="52"/>
        <v>99.99998680999721</v>
      </c>
    </row>
    <row r="387" spans="1:8" ht="15.75" hidden="1" x14ac:dyDescent="0.25">
      <c r="A387" s="396" t="s">
        <v>135</v>
      </c>
      <c r="B387" s="20" t="s">
        <v>234</v>
      </c>
      <c r="C387" s="20" t="s">
        <v>213</v>
      </c>
      <c r="D387" s="20" t="s">
        <v>980</v>
      </c>
      <c r="E387" s="20" t="s">
        <v>836</v>
      </c>
      <c r="F387" s="6">
        <f>F388</f>
        <v>0</v>
      </c>
      <c r="G387" s="389">
        <f>G388</f>
        <v>0</v>
      </c>
      <c r="H387" s="389" t="e">
        <f t="shared" si="52"/>
        <v>#DIV/0!</v>
      </c>
    </row>
    <row r="388" spans="1:8" ht="15.75" hidden="1" x14ac:dyDescent="0.25">
      <c r="A388" s="396" t="s">
        <v>568</v>
      </c>
      <c r="B388" s="20" t="s">
        <v>234</v>
      </c>
      <c r="C388" s="20" t="s">
        <v>213</v>
      </c>
      <c r="D388" s="20" t="s">
        <v>980</v>
      </c>
      <c r="E388" s="20" t="s">
        <v>1068</v>
      </c>
      <c r="F388" s="6">
        <f>'Пр.4 ведом.21'!G1044</f>
        <v>0</v>
      </c>
      <c r="G388" s="389">
        <f>'Пр.4 ведом.21'!H1044</f>
        <v>0</v>
      </c>
      <c r="H388" s="389" t="e">
        <f t="shared" si="52"/>
        <v>#DIV/0!</v>
      </c>
    </row>
    <row r="389" spans="1:8" ht="49.7" hidden="1" customHeight="1" x14ac:dyDescent="0.25">
      <c r="A389" s="396" t="s">
        <v>793</v>
      </c>
      <c r="B389" s="20" t="s">
        <v>234</v>
      </c>
      <c r="C389" s="20" t="s">
        <v>213</v>
      </c>
      <c r="D389" s="20" t="s">
        <v>981</v>
      </c>
      <c r="E389" s="20"/>
      <c r="F389" s="6">
        <f>F390</f>
        <v>0</v>
      </c>
      <c r="G389" s="389">
        <f>G390</f>
        <v>0</v>
      </c>
      <c r="H389" s="389" t="e">
        <f t="shared" si="52"/>
        <v>#DIV/0!</v>
      </c>
    </row>
    <row r="390" spans="1:8" ht="31.5" hidden="1" x14ac:dyDescent="0.25">
      <c r="A390" s="396" t="s">
        <v>131</v>
      </c>
      <c r="B390" s="20" t="s">
        <v>234</v>
      </c>
      <c r="C390" s="20" t="s">
        <v>213</v>
      </c>
      <c r="D390" s="20" t="s">
        <v>981</v>
      </c>
      <c r="E390" s="20" t="s">
        <v>132</v>
      </c>
      <c r="F390" s="6">
        <f>F391</f>
        <v>0</v>
      </c>
      <c r="G390" s="389">
        <f>G391</f>
        <v>0</v>
      </c>
      <c r="H390" s="389" t="e">
        <f t="shared" si="52"/>
        <v>#DIV/0!</v>
      </c>
    </row>
    <row r="391" spans="1:8" ht="31.5" hidden="1" x14ac:dyDescent="0.25">
      <c r="A391" s="396" t="s">
        <v>133</v>
      </c>
      <c r="B391" s="20" t="s">
        <v>234</v>
      </c>
      <c r="C391" s="20" t="s">
        <v>213</v>
      </c>
      <c r="D391" s="20" t="s">
        <v>981</v>
      </c>
      <c r="E391" s="20" t="s">
        <v>134</v>
      </c>
      <c r="F391" s="6">
        <f>'Пр.4 ведом.21'!G1047</f>
        <v>0</v>
      </c>
      <c r="G391" s="389">
        <f>'Пр.4 ведом.21'!H1047</f>
        <v>0</v>
      </c>
      <c r="H391" s="389" t="e">
        <f t="shared" si="52"/>
        <v>#DIV/0!</v>
      </c>
    </row>
    <row r="392" spans="1:8" ht="47.25" hidden="1" x14ac:dyDescent="0.25">
      <c r="A392" s="97" t="s">
        <v>832</v>
      </c>
      <c r="B392" s="20" t="s">
        <v>234</v>
      </c>
      <c r="C392" s="20" t="s">
        <v>213</v>
      </c>
      <c r="D392" s="20" t="s">
        <v>982</v>
      </c>
      <c r="E392" s="20"/>
      <c r="F392" s="6">
        <f>F393+F395</f>
        <v>0</v>
      </c>
      <c r="G392" s="389">
        <f>G393+G395</f>
        <v>0</v>
      </c>
      <c r="H392" s="389" t="e">
        <f t="shared" si="52"/>
        <v>#DIV/0!</v>
      </c>
    </row>
    <row r="393" spans="1:8" ht="31.5" hidden="1" x14ac:dyDescent="0.25">
      <c r="A393" s="396" t="s">
        <v>837</v>
      </c>
      <c r="B393" s="20" t="s">
        <v>234</v>
      </c>
      <c r="C393" s="20" t="s">
        <v>213</v>
      </c>
      <c r="D393" s="20" t="s">
        <v>982</v>
      </c>
      <c r="E393" s="20" t="s">
        <v>836</v>
      </c>
      <c r="F393" s="6">
        <f>F394</f>
        <v>0</v>
      </c>
      <c r="G393" s="389">
        <f>G394</f>
        <v>0</v>
      </c>
      <c r="H393" s="389" t="e">
        <f t="shared" ref="H393:H456" si="64">G393/F393*100</f>
        <v>#DIV/0!</v>
      </c>
    </row>
    <row r="394" spans="1:8" ht="31.7" hidden="1" customHeight="1" x14ac:dyDescent="0.25">
      <c r="A394" s="396" t="s">
        <v>1049</v>
      </c>
      <c r="B394" s="20" t="s">
        <v>234</v>
      </c>
      <c r="C394" s="20" t="s">
        <v>213</v>
      </c>
      <c r="D394" s="20" t="s">
        <v>982</v>
      </c>
      <c r="E394" s="20" t="s">
        <v>1068</v>
      </c>
      <c r="F394" s="6">
        <f>'Пр.4 ведом.21'!G1050</f>
        <v>0</v>
      </c>
      <c r="G394" s="389">
        <f>'Пр.4 ведом.21'!H1050</f>
        <v>0</v>
      </c>
      <c r="H394" s="389" t="e">
        <f t="shared" si="64"/>
        <v>#DIV/0!</v>
      </c>
    </row>
    <row r="395" spans="1:8" ht="21.2" hidden="1" customHeight="1" x14ac:dyDescent="0.25">
      <c r="A395" s="396" t="s">
        <v>135</v>
      </c>
      <c r="B395" s="20" t="s">
        <v>234</v>
      </c>
      <c r="C395" s="20" t="s">
        <v>213</v>
      </c>
      <c r="D395" s="20" t="s">
        <v>982</v>
      </c>
      <c r="E395" s="20" t="s">
        <v>145</v>
      </c>
      <c r="F395" s="6">
        <f>F396</f>
        <v>0</v>
      </c>
      <c r="G395" s="389">
        <f>G396</f>
        <v>0</v>
      </c>
      <c r="H395" s="389" t="e">
        <f t="shared" si="64"/>
        <v>#DIV/0!</v>
      </c>
    </row>
    <row r="396" spans="1:8" ht="21.75" hidden="1" customHeight="1" x14ac:dyDescent="0.25">
      <c r="A396" s="396" t="s">
        <v>704</v>
      </c>
      <c r="B396" s="20" t="s">
        <v>234</v>
      </c>
      <c r="C396" s="20" t="s">
        <v>213</v>
      </c>
      <c r="D396" s="20" t="s">
        <v>982</v>
      </c>
      <c r="E396" s="20" t="s">
        <v>138</v>
      </c>
      <c r="F396" s="6">
        <f>'Пр.4 ведом.21'!G1052</f>
        <v>0</v>
      </c>
      <c r="G396" s="389">
        <f>'Пр.4 ведом.21'!H1052</f>
        <v>0</v>
      </c>
      <c r="H396" s="389" t="e">
        <f t="shared" si="64"/>
        <v>#DIV/0!</v>
      </c>
    </row>
    <row r="397" spans="1:8" ht="31.5" hidden="1" x14ac:dyDescent="0.25">
      <c r="A397" s="396" t="s">
        <v>1069</v>
      </c>
      <c r="B397" s="20" t="s">
        <v>234</v>
      </c>
      <c r="C397" s="20" t="s">
        <v>213</v>
      </c>
      <c r="D397" s="20" t="s">
        <v>1070</v>
      </c>
      <c r="E397" s="20"/>
      <c r="F397" s="6">
        <f t="shared" ref="F397:G398" si="65">F398</f>
        <v>0</v>
      </c>
      <c r="G397" s="389">
        <f t="shared" si="65"/>
        <v>0</v>
      </c>
      <c r="H397" s="389" t="e">
        <f t="shared" si="64"/>
        <v>#DIV/0!</v>
      </c>
    </row>
    <row r="398" spans="1:8" ht="31.5" hidden="1" x14ac:dyDescent="0.25">
      <c r="A398" s="396" t="s">
        <v>131</v>
      </c>
      <c r="B398" s="20" t="s">
        <v>234</v>
      </c>
      <c r="C398" s="20" t="s">
        <v>213</v>
      </c>
      <c r="D398" s="20" t="s">
        <v>1070</v>
      </c>
      <c r="E398" s="20" t="s">
        <v>132</v>
      </c>
      <c r="F398" s="6">
        <f t="shared" si="65"/>
        <v>0</v>
      </c>
      <c r="G398" s="389">
        <f t="shared" si="65"/>
        <v>0</v>
      </c>
      <c r="H398" s="389" t="e">
        <f t="shared" si="64"/>
        <v>#DIV/0!</v>
      </c>
    </row>
    <row r="399" spans="1:8" ht="31.5" hidden="1" x14ac:dyDescent="0.25">
      <c r="A399" s="396" t="s">
        <v>133</v>
      </c>
      <c r="B399" s="20" t="s">
        <v>234</v>
      </c>
      <c r="C399" s="20" t="s">
        <v>213</v>
      </c>
      <c r="D399" s="20" t="s">
        <v>1070</v>
      </c>
      <c r="E399" s="20" t="s">
        <v>134</v>
      </c>
      <c r="F399" s="6">
        <f>'Пр.4 ведом.21'!G1055</f>
        <v>0</v>
      </c>
      <c r="G399" s="389">
        <f>'Пр.4 ведом.21'!H1055</f>
        <v>0</v>
      </c>
      <c r="H399" s="389" t="e">
        <f t="shared" si="64"/>
        <v>#DIV/0!</v>
      </c>
    </row>
    <row r="400" spans="1:8" ht="63" x14ac:dyDescent="0.25">
      <c r="A400" s="394" t="s">
        <v>1509</v>
      </c>
      <c r="B400" s="24" t="s">
        <v>234</v>
      </c>
      <c r="C400" s="24" t="s">
        <v>213</v>
      </c>
      <c r="D400" s="24" t="s">
        <v>518</v>
      </c>
      <c r="E400" s="24"/>
      <c r="F400" s="4">
        <f>F401+F405+F409+F413+F417+F421+F425+F429</f>
        <v>57060.592710000004</v>
      </c>
      <c r="G400" s="388">
        <f>G401+G405+G409+G413+G417+G421+G425+G429</f>
        <v>56962.98</v>
      </c>
      <c r="H400" s="492">
        <f t="shared" si="64"/>
        <v>99.828931482545059</v>
      </c>
    </row>
    <row r="401" spans="1:8" ht="31.5" hidden="1" x14ac:dyDescent="0.25">
      <c r="A401" s="394" t="s">
        <v>962</v>
      </c>
      <c r="B401" s="24" t="s">
        <v>234</v>
      </c>
      <c r="C401" s="24" t="s">
        <v>213</v>
      </c>
      <c r="D401" s="24" t="s">
        <v>964</v>
      </c>
      <c r="E401" s="24"/>
      <c r="F401" s="4">
        <f>F402</f>
        <v>0</v>
      </c>
      <c r="G401" s="388">
        <f>G402</f>
        <v>0</v>
      </c>
      <c r="H401" s="492" t="e">
        <f t="shared" si="64"/>
        <v>#DIV/0!</v>
      </c>
    </row>
    <row r="402" spans="1:8" ht="15.75" hidden="1" x14ac:dyDescent="0.25">
      <c r="A402" s="45" t="s">
        <v>963</v>
      </c>
      <c r="B402" s="40" t="s">
        <v>234</v>
      </c>
      <c r="C402" s="40" t="s">
        <v>213</v>
      </c>
      <c r="D402" s="20" t="s">
        <v>965</v>
      </c>
      <c r="E402" s="40"/>
      <c r="F402" s="6">
        <f t="shared" ref="F402:G403" si="66">F403</f>
        <v>0</v>
      </c>
      <c r="G402" s="389">
        <f t="shared" si="66"/>
        <v>0</v>
      </c>
      <c r="H402" s="492" t="e">
        <f t="shared" si="64"/>
        <v>#DIV/0!</v>
      </c>
    </row>
    <row r="403" spans="1:8" ht="31.5" hidden="1" x14ac:dyDescent="0.25">
      <c r="A403" s="31" t="s">
        <v>131</v>
      </c>
      <c r="B403" s="40" t="s">
        <v>234</v>
      </c>
      <c r="C403" s="40" t="s">
        <v>213</v>
      </c>
      <c r="D403" s="20" t="s">
        <v>965</v>
      </c>
      <c r="E403" s="40" t="s">
        <v>132</v>
      </c>
      <c r="F403" s="6">
        <f t="shared" si="66"/>
        <v>0</v>
      </c>
      <c r="G403" s="389">
        <f t="shared" si="66"/>
        <v>0</v>
      </c>
      <c r="H403" s="492" t="e">
        <f t="shared" si="64"/>
        <v>#DIV/0!</v>
      </c>
    </row>
    <row r="404" spans="1:8" ht="31.5" hidden="1" x14ac:dyDescent="0.25">
      <c r="A404" s="31" t="s">
        <v>133</v>
      </c>
      <c r="B404" s="40" t="s">
        <v>234</v>
      </c>
      <c r="C404" s="40" t="s">
        <v>213</v>
      </c>
      <c r="D404" s="20" t="s">
        <v>965</v>
      </c>
      <c r="E404" s="40" t="s">
        <v>134</v>
      </c>
      <c r="F404" s="6">
        <f>'Пр.4 ведом.21'!G1060</f>
        <v>0</v>
      </c>
      <c r="G404" s="389">
        <f>'Пр.4 ведом.21'!H1060</f>
        <v>0</v>
      </c>
      <c r="H404" s="492" t="e">
        <f t="shared" si="64"/>
        <v>#DIV/0!</v>
      </c>
    </row>
    <row r="405" spans="1:8" ht="31.5" x14ac:dyDescent="0.25">
      <c r="A405" s="34" t="s">
        <v>966</v>
      </c>
      <c r="B405" s="7" t="s">
        <v>234</v>
      </c>
      <c r="C405" s="7" t="s">
        <v>213</v>
      </c>
      <c r="D405" s="24" t="s">
        <v>967</v>
      </c>
      <c r="E405" s="7"/>
      <c r="F405" s="4">
        <f t="shared" ref="F405:G407" si="67">F406</f>
        <v>390</v>
      </c>
      <c r="G405" s="388">
        <f t="shared" si="67"/>
        <v>389.95100000000002</v>
      </c>
      <c r="H405" s="492">
        <f t="shared" si="64"/>
        <v>99.987435897435901</v>
      </c>
    </row>
    <row r="406" spans="1:8" ht="15.75" x14ac:dyDescent="0.25">
      <c r="A406" s="45" t="s">
        <v>523</v>
      </c>
      <c r="B406" s="40" t="s">
        <v>234</v>
      </c>
      <c r="C406" s="40" t="s">
        <v>213</v>
      </c>
      <c r="D406" s="20" t="s">
        <v>970</v>
      </c>
      <c r="E406" s="40"/>
      <c r="F406" s="6">
        <f t="shared" si="67"/>
        <v>390</v>
      </c>
      <c r="G406" s="389">
        <f t="shared" si="67"/>
        <v>389.95100000000002</v>
      </c>
      <c r="H406" s="389">
        <f t="shared" si="64"/>
        <v>99.987435897435901</v>
      </c>
    </row>
    <row r="407" spans="1:8" ht="31.5" x14ac:dyDescent="0.25">
      <c r="A407" s="31" t="s">
        <v>131</v>
      </c>
      <c r="B407" s="40" t="s">
        <v>234</v>
      </c>
      <c r="C407" s="40" t="s">
        <v>213</v>
      </c>
      <c r="D407" s="20" t="s">
        <v>970</v>
      </c>
      <c r="E407" s="40" t="s">
        <v>132</v>
      </c>
      <c r="F407" s="6">
        <f t="shared" si="67"/>
        <v>390</v>
      </c>
      <c r="G407" s="389">
        <f t="shared" si="67"/>
        <v>389.95100000000002</v>
      </c>
      <c r="H407" s="389">
        <f t="shared" si="64"/>
        <v>99.987435897435901</v>
      </c>
    </row>
    <row r="408" spans="1:8" ht="31.5" x14ac:dyDescent="0.25">
      <c r="A408" s="31" t="s">
        <v>133</v>
      </c>
      <c r="B408" s="40" t="s">
        <v>234</v>
      </c>
      <c r="C408" s="40" t="s">
        <v>213</v>
      </c>
      <c r="D408" s="20" t="s">
        <v>970</v>
      </c>
      <c r="E408" s="40" t="s">
        <v>134</v>
      </c>
      <c r="F408" s="6">
        <f>'Пр.4 ведом.21'!G1064</f>
        <v>390</v>
      </c>
      <c r="G408" s="389">
        <f>'Пр.4 ведом.21'!H1064</f>
        <v>389.95100000000002</v>
      </c>
      <c r="H408" s="389">
        <f t="shared" si="64"/>
        <v>99.987435897435901</v>
      </c>
    </row>
    <row r="409" spans="1:8" ht="31.5" hidden="1" x14ac:dyDescent="0.25">
      <c r="A409" s="58" t="s">
        <v>968</v>
      </c>
      <c r="B409" s="7" t="s">
        <v>234</v>
      </c>
      <c r="C409" s="7" t="s">
        <v>213</v>
      </c>
      <c r="D409" s="24" t="s">
        <v>969</v>
      </c>
      <c r="E409" s="7"/>
      <c r="F409" s="4">
        <f t="shared" ref="F409:G411" si="68">F410</f>
        <v>0</v>
      </c>
      <c r="G409" s="388">
        <f t="shared" si="68"/>
        <v>0</v>
      </c>
      <c r="H409" s="389" t="e">
        <f t="shared" si="64"/>
        <v>#DIV/0!</v>
      </c>
    </row>
    <row r="410" spans="1:8" ht="15.75" hidden="1" x14ac:dyDescent="0.25">
      <c r="A410" s="45" t="s">
        <v>525</v>
      </c>
      <c r="B410" s="40" t="s">
        <v>234</v>
      </c>
      <c r="C410" s="40" t="s">
        <v>213</v>
      </c>
      <c r="D410" s="20" t="s">
        <v>971</v>
      </c>
      <c r="E410" s="40"/>
      <c r="F410" s="6">
        <f t="shared" si="68"/>
        <v>0</v>
      </c>
      <c r="G410" s="389">
        <f t="shared" si="68"/>
        <v>0</v>
      </c>
      <c r="H410" s="389" t="e">
        <f t="shared" si="64"/>
        <v>#DIV/0!</v>
      </c>
    </row>
    <row r="411" spans="1:8" ht="31.5" hidden="1" x14ac:dyDescent="0.25">
      <c r="A411" s="31" t="s">
        <v>131</v>
      </c>
      <c r="B411" s="40" t="s">
        <v>234</v>
      </c>
      <c r="C411" s="40" t="s">
        <v>213</v>
      </c>
      <c r="D411" s="20" t="s">
        <v>971</v>
      </c>
      <c r="E411" s="40" t="s">
        <v>132</v>
      </c>
      <c r="F411" s="6">
        <f t="shared" si="68"/>
        <v>0</v>
      </c>
      <c r="G411" s="389">
        <f t="shared" si="68"/>
        <v>0</v>
      </c>
      <c r="H411" s="389" t="e">
        <f t="shared" si="64"/>
        <v>#DIV/0!</v>
      </c>
    </row>
    <row r="412" spans="1:8" ht="31.5" hidden="1" x14ac:dyDescent="0.25">
      <c r="A412" s="31" t="s">
        <v>133</v>
      </c>
      <c r="B412" s="40" t="s">
        <v>234</v>
      </c>
      <c r="C412" s="40" t="s">
        <v>213</v>
      </c>
      <c r="D412" s="20" t="s">
        <v>971</v>
      </c>
      <c r="E412" s="40" t="s">
        <v>134</v>
      </c>
      <c r="F412" s="6">
        <f>'Пр.4 ведом.21'!G1068</f>
        <v>0</v>
      </c>
      <c r="G412" s="389">
        <f>'Пр.4 ведом.21'!H1068</f>
        <v>0</v>
      </c>
      <c r="H412" s="389" t="e">
        <f t="shared" si="64"/>
        <v>#DIV/0!</v>
      </c>
    </row>
    <row r="413" spans="1:8" ht="31.5" x14ac:dyDescent="0.25">
      <c r="A413" s="58" t="s">
        <v>972</v>
      </c>
      <c r="B413" s="7" t="s">
        <v>234</v>
      </c>
      <c r="C413" s="7" t="s">
        <v>213</v>
      </c>
      <c r="D413" s="24" t="s">
        <v>973</v>
      </c>
      <c r="E413" s="7"/>
      <c r="F413" s="4">
        <f t="shared" ref="F413:G415" si="69">F414</f>
        <v>261.7</v>
      </c>
      <c r="G413" s="388">
        <f t="shared" si="69"/>
        <v>260.791</v>
      </c>
      <c r="H413" s="389">
        <f t="shared" si="64"/>
        <v>99.65265571264807</v>
      </c>
    </row>
    <row r="414" spans="1:8" ht="15.75" x14ac:dyDescent="0.25">
      <c r="A414" s="45" t="s">
        <v>527</v>
      </c>
      <c r="B414" s="40" t="s">
        <v>234</v>
      </c>
      <c r="C414" s="40" t="s">
        <v>213</v>
      </c>
      <c r="D414" s="20" t="s">
        <v>974</v>
      </c>
      <c r="E414" s="40"/>
      <c r="F414" s="6">
        <f t="shared" si="69"/>
        <v>261.7</v>
      </c>
      <c r="G414" s="389">
        <f t="shared" si="69"/>
        <v>260.791</v>
      </c>
      <c r="H414" s="389">
        <f t="shared" si="64"/>
        <v>99.65265571264807</v>
      </c>
    </row>
    <row r="415" spans="1:8" ht="31.5" x14ac:dyDescent="0.25">
      <c r="A415" s="31" t="s">
        <v>131</v>
      </c>
      <c r="B415" s="40" t="s">
        <v>234</v>
      </c>
      <c r="C415" s="40" t="s">
        <v>213</v>
      </c>
      <c r="D415" s="20" t="s">
        <v>974</v>
      </c>
      <c r="E415" s="40" t="s">
        <v>132</v>
      </c>
      <c r="F415" s="6">
        <f t="shared" si="69"/>
        <v>261.7</v>
      </c>
      <c r="G415" s="389">
        <f t="shared" si="69"/>
        <v>260.791</v>
      </c>
      <c r="H415" s="389">
        <f t="shared" si="64"/>
        <v>99.65265571264807</v>
      </c>
    </row>
    <row r="416" spans="1:8" ht="31.5" x14ac:dyDescent="0.25">
      <c r="A416" s="31" t="s">
        <v>133</v>
      </c>
      <c r="B416" s="40" t="s">
        <v>234</v>
      </c>
      <c r="C416" s="40" t="s">
        <v>213</v>
      </c>
      <c r="D416" s="20" t="s">
        <v>974</v>
      </c>
      <c r="E416" s="40" t="s">
        <v>134</v>
      </c>
      <c r="F416" s="6">
        <f>'Пр.4 ведом.21'!G1072</f>
        <v>261.7</v>
      </c>
      <c r="G416" s="389">
        <f>'Пр.4 ведом.21'!H1072</f>
        <v>260.791</v>
      </c>
      <c r="H416" s="389">
        <f t="shared" si="64"/>
        <v>99.65265571264807</v>
      </c>
    </row>
    <row r="417" spans="1:8" ht="31.5" x14ac:dyDescent="0.25">
      <c r="A417" s="34" t="s">
        <v>1013</v>
      </c>
      <c r="B417" s="7" t="s">
        <v>234</v>
      </c>
      <c r="C417" s="7" t="s">
        <v>213</v>
      </c>
      <c r="D417" s="24" t="s">
        <v>1014</v>
      </c>
      <c r="E417" s="7"/>
      <c r="F417" s="4">
        <f t="shared" ref="F417:G419" si="70">F418</f>
        <v>30.3</v>
      </c>
      <c r="G417" s="388">
        <f t="shared" si="70"/>
        <v>30.29</v>
      </c>
      <c r="H417" s="389">
        <f t="shared" si="64"/>
        <v>99.966996699669963</v>
      </c>
    </row>
    <row r="418" spans="1:8" ht="18" customHeight="1" x14ac:dyDescent="0.25">
      <c r="A418" s="45" t="s">
        <v>529</v>
      </c>
      <c r="B418" s="40" t="s">
        <v>234</v>
      </c>
      <c r="C418" s="40" t="s">
        <v>213</v>
      </c>
      <c r="D418" s="20" t="s">
        <v>1017</v>
      </c>
      <c r="E418" s="40"/>
      <c r="F418" s="6">
        <f t="shared" si="70"/>
        <v>30.3</v>
      </c>
      <c r="G418" s="389">
        <f t="shared" si="70"/>
        <v>30.29</v>
      </c>
      <c r="H418" s="389">
        <f t="shared" si="64"/>
        <v>99.966996699669963</v>
      </c>
    </row>
    <row r="419" spans="1:8" ht="31.5" x14ac:dyDescent="0.25">
      <c r="A419" s="31" t="s">
        <v>131</v>
      </c>
      <c r="B419" s="40" t="s">
        <v>234</v>
      </c>
      <c r="C419" s="40" t="s">
        <v>213</v>
      </c>
      <c r="D419" s="20" t="s">
        <v>1017</v>
      </c>
      <c r="E419" s="40" t="s">
        <v>132</v>
      </c>
      <c r="F419" s="6">
        <f t="shared" si="70"/>
        <v>30.3</v>
      </c>
      <c r="G419" s="389">
        <f t="shared" si="70"/>
        <v>30.29</v>
      </c>
      <c r="H419" s="389">
        <f t="shared" si="64"/>
        <v>99.966996699669963</v>
      </c>
    </row>
    <row r="420" spans="1:8" ht="31.5" x14ac:dyDescent="0.25">
      <c r="A420" s="31" t="s">
        <v>133</v>
      </c>
      <c r="B420" s="40" t="s">
        <v>234</v>
      </c>
      <c r="C420" s="40" t="s">
        <v>213</v>
      </c>
      <c r="D420" s="20" t="s">
        <v>1017</v>
      </c>
      <c r="E420" s="40" t="s">
        <v>134</v>
      </c>
      <c r="F420" s="6">
        <f>'Пр.4 ведом.21'!G1076</f>
        <v>30.3</v>
      </c>
      <c r="G420" s="389">
        <f>'Пр.4 ведом.21'!H1076</f>
        <v>30.29</v>
      </c>
      <c r="H420" s="389">
        <f t="shared" si="64"/>
        <v>99.966996699669963</v>
      </c>
    </row>
    <row r="421" spans="1:8" ht="31.5" hidden="1" x14ac:dyDescent="0.25">
      <c r="A421" s="204" t="s">
        <v>1015</v>
      </c>
      <c r="B421" s="7" t="s">
        <v>234</v>
      </c>
      <c r="C421" s="7" t="s">
        <v>213</v>
      </c>
      <c r="D421" s="24" t="s">
        <v>1016</v>
      </c>
      <c r="E421" s="7"/>
      <c r="F421" s="4">
        <f t="shared" ref="F421:G423" si="71">F422</f>
        <v>0</v>
      </c>
      <c r="G421" s="388">
        <f t="shared" si="71"/>
        <v>0</v>
      </c>
      <c r="H421" s="389" t="e">
        <f t="shared" si="64"/>
        <v>#DIV/0!</v>
      </c>
    </row>
    <row r="422" spans="1:8" ht="31.5" hidden="1" x14ac:dyDescent="0.25">
      <c r="A422" s="172" t="s">
        <v>531</v>
      </c>
      <c r="B422" s="40" t="s">
        <v>234</v>
      </c>
      <c r="C422" s="40" t="s">
        <v>213</v>
      </c>
      <c r="D422" s="20" t="s">
        <v>1018</v>
      </c>
      <c r="E422" s="40"/>
      <c r="F422" s="6">
        <f t="shared" si="71"/>
        <v>0</v>
      </c>
      <c r="G422" s="389">
        <f t="shared" si="71"/>
        <v>0</v>
      </c>
      <c r="H422" s="389" t="e">
        <f t="shared" si="64"/>
        <v>#DIV/0!</v>
      </c>
    </row>
    <row r="423" spans="1:8" ht="31.5" hidden="1" x14ac:dyDescent="0.25">
      <c r="A423" s="31" t="s">
        <v>131</v>
      </c>
      <c r="B423" s="40" t="s">
        <v>234</v>
      </c>
      <c r="C423" s="40" t="s">
        <v>213</v>
      </c>
      <c r="D423" s="20" t="s">
        <v>1018</v>
      </c>
      <c r="E423" s="40" t="s">
        <v>132</v>
      </c>
      <c r="F423" s="6">
        <f t="shared" si="71"/>
        <v>0</v>
      </c>
      <c r="G423" s="389">
        <f t="shared" si="71"/>
        <v>0</v>
      </c>
      <c r="H423" s="389" t="e">
        <f t="shared" si="64"/>
        <v>#DIV/0!</v>
      </c>
    </row>
    <row r="424" spans="1:8" ht="31.5" hidden="1" x14ac:dyDescent="0.25">
      <c r="A424" s="31" t="s">
        <v>133</v>
      </c>
      <c r="B424" s="40" t="s">
        <v>234</v>
      </c>
      <c r="C424" s="40" t="s">
        <v>213</v>
      </c>
      <c r="D424" s="20" t="s">
        <v>1018</v>
      </c>
      <c r="E424" s="40" t="s">
        <v>134</v>
      </c>
      <c r="F424" s="6">
        <f>'Пр.4 ведом.21'!G1080</f>
        <v>0</v>
      </c>
      <c r="G424" s="389">
        <f>'Пр.4 ведом.21'!H1080</f>
        <v>0</v>
      </c>
      <c r="H424" s="389" t="e">
        <f t="shared" si="64"/>
        <v>#DIV/0!</v>
      </c>
    </row>
    <row r="425" spans="1:8" ht="31.5" x14ac:dyDescent="0.25">
      <c r="A425" s="204" t="s">
        <v>976</v>
      </c>
      <c r="B425" s="7" t="s">
        <v>234</v>
      </c>
      <c r="C425" s="7" t="s">
        <v>213</v>
      </c>
      <c r="D425" s="24" t="s">
        <v>977</v>
      </c>
      <c r="E425" s="7"/>
      <c r="F425" s="4">
        <f t="shared" ref="F425:G427" si="72">F426</f>
        <v>193.3</v>
      </c>
      <c r="G425" s="388">
        <f t="shared" si="72"/>
        <v>193.23</v>
      </c>
      <c r="H425" s="492">
        <f t="shared" si="64"/>
        <v>99.963786859803406</v>
      </c>
    </row>
    <row r="426" spans="1:8" ht="15.75" x14ac:dyDescent="0.25">
      <c r="A426" s="172" t="s">
        <v>533</v>
      </c>
      <c r="B426" s="40" t="s">
        <v>234</v>
      </c>
      <c r="C426" s="40" t="s">
        <v>213</v>
      </c>
      <c r="D426" s="20" t="s">
        <v>975</v>
      </c>
      <c r="E426" s="40"/>
      <c r="F426" s="6">
        <f t="shared" si="72"/>
        <v>193.3</v>
      </c>
      <c r="G426" s="389">
        <f t="shared" si="72"/>
        <v>193.23</v>
      </c>
      <c r="H426" s="389">
        <f t="shared" si="64"/>
        <v>99.963786859803406</v>
      </c>
    </row>
    <row r="427" spans="1:8" ht="31.5" x14ac:dyDescent="0.25">
      <c r="A427" s="396" t="s">
        <v>131</v>
      </c>
      <c r="B427" s="40" t="s">
        <v>234</v>
      </c>
      <c r="C427" s="40" t="s">
        <v>213</v>
      </c>
      <c r="D427" s="20" t="s">
        <v>975</v>
      </c>
      <c r="E427" s="40" t="s">
        <v>132</v>
      </c>
      <c r="F427" s="6">
        <f t="shared" si="72"/>
        <v>193.3</v>
      </c>
      <c r="G427" s="389">
        <f t="shared" si="72"/>
        <v>193.23</v>
      </c>
      <c r="H427" s="389">
        <f t="shared" si="64"/>
        <v>99.963786859803406</v>
      </c>
    </row>
    <row r="428" spans="1:8" s="191" customFormat="1" ht="31.5" x14ac:dyDescent="0.25">
      <c r="A428" s="396" t="s">
        <v>133</v>
      </c>
      <c r="B428" s="40" t="s">
        <v>234</v>
      </c>
      <c r="C428" s="40" t="s">
        <v>213</v>
      </c>
      <c r="D428" s="20" t="s">
        <v>975</v>
      </c>
      <c r="E428" s="40" t="s">
        <v>134</v>
      </c>
      <c r="F428" s="6">
        <f>'Пр.4 ведом.21'!G1084</f>
        <v>193.3</v>
      </c>
      <c r="G428" s="389">
        <f>'Пр.4 ведом.21'!H1084</f>
        <v>193.23</v>
      </c>
      <c r="H428" s="389">
        <f t="shared" si="64"/>
        <v>99.963786859803406</v>
      </c>
    </row>
    <row r="429" spans="1:8" s="387" customFormat="1" ht="31.5" x14ac:dyDescent="0.25">
      <c r="A429" s="204" t="s">
        <v>1658</v>
      </c>
      <c r="B429" s="7" t="s">
        <v>234</v>
      </c>
      <c r="C429" s="7" t="s">
        <v>213</v>
      </c>
      <c r="D429" s="395" t="s">
        <v>1657</v>
      </c>
      <c r="E429" s="7"/>
      <c r="F429" s="388">
        <f t="shared" ref="F429:G431" si="73">F430</f>
        <v>56185.292710000002</v>
      </c>
      <c r="G429" s="388">
        <f t="shared" si="73"/>
        <v>56088.718000000001</v>
      </c>
      <c r="H429" s="492">
        <f t="shared" si="64"/>
        <v>99.828113897175058</v>
      </c>
    </row>
    <row r="430" spans="1:8" s="387" customFormat="1" ht="47.25" x14ac:dyDescent="0.25">
      <c r="A430" s="396" t="s">
        <v>1656</v>
      </c>
      <c r="B430" s="399" t="s">
        <v>234</v>
      </c>
      <c r="C430" s="399" t="s">
        <v>213</v>
      </c>
      <c r="D430" s="392" t="s">
        <v>1659</v>
      </c>
      <c r="E430" s="399"/>
      <c r="F430" s="389">
        <f t="shared" si="73"/>
        <v>56185.292710000002</v>
      </c>
      <c r="G430" s="389">
        <f t="shared" si="73"/>
        <v>56088.718000000001</v>
      </c>
      <c r="H430" s="389">
        <f t="shared" si="64"/>
        <v>99.828113897175058</v>
      </c>
    </row>
    <row r="431" spans="1:8" s="387" customFormat="1" ht="31.5" x14ac:dyDescent="0.25">
      <c r="A431" s="396" t="s">
        <v>131</v>
      </c>
      <c r="B431" s="399" t="s">
        <v>234</v>
      </c>
      <c r="C431" s="399" t="s">
        <v>213</v>
      </c>
      <c r="D431" s="392" t="s">
        <v>1659</v>
      </c>
      <c r="E431" s="399" t="s">
        <v>132</v>
      </c>
      <c r="F431" s="389">
        <f t="shared" si="73"/>
        <v>56185.292710000002</v>
      </c>
      <c r="G431" s="389">
        <f t="shared" si="73"/>
        <v>56088.718000000001</v>
      </c>
      <c r="H431" s="389">
        <f t="shared" si="64"/>
        <v>99.828113897175058</v>
      </c>
    </row>
    <row r="432" spans="1:8" s="387" customFormat="1" ht="31.5" x14ac:dyDescent="0.25">
      <c r="A432" s="396" t="s">
        <v>133</v>
      </c>
      <c r="B432" s="399" t="s">
        <v>234</v>
      </c>
      <c r="C432" s="399" t="s">
        <v>213</v>
      </c>
      <c r="D432" s="392" t="s">
        <v>1659</v>
      </c>
      <c r="E432" s="399" t="s">
        <v>134</v>
      </c>
      <c r="F432" s="389">
        <f>'Пр.4 ведом.21'!G1088</f>
        <v>56185.292710000002</v>
      </c>
      <c r="G432" s="389">
        <f>'Пр.4 ведом.21'!H1088</f>
        <v>56088.718000000001</v>
      </c>
      <c r="H432" s="389">
        <f t="shared" si="64"/>
        <v>99.828113897175058</v>
      </c>
    </row>
    <row r="433" spans="1:8" s="191" customFormat="1" ht="47.25" hidden="1" x14ac:dyDescent="0.25">
      <c r="A433" s="394" t="s">
        <v>1511</v>
      </c>
      <c r="B433" s="7" t="s">
        <v>234</v>
      </c>
      <c r="C433" s="7" t="s">
        <v>213</v>
      </c>
      <c r="D433" s="24" t="s">
        <v>1139</v>
      </c>
      <c r="E433" s="7"/>
      <c r="F433" s="4">
        <f t="shared" ref="F433:G436" si="74">F434</f>
        <v>0</v>
      </c>
      <c r="G433" s="388">
        <f t="shared" si="74"/>
        <v>0</v>
      </c>
      <c r="H433" s="389" t="e">
        <f t="shared" si="64"/>
        <v>#DIV/0!</v>
      </c>
    </row>
    <row r="434" spans="1:8" s="191" customFormat="1" ht="31.5" hidden="1" x14ac:dyDescent="0.25">
      <c r="A434" s="394" t="s">
        <v>1140</v>
      </c>
      <c r="B434" s="7" t="s">
        <v>234</v>
      </c>
      <c r="C434" s="7" t="s">
        <v>213</v>
      </c>
      <c r="D434" s="24" t="s">
        <v>1141</v>
      </c>
      <c r="E434" s="7"/>
      <c r="F434" s="4">
        <f t="shared" si="74"/>
        <v>0</v>
      </c>
      <c r="G434" s="388">
        <f t="shared" si="74"/>
        <v>0</v>
      </c>
      <c r="H434" s="389" t="e">
        <f t="shared" si="64"/>
        <v>#DIV/0!</v>
      </c>
    </row>
    <row r="435" spans="1:8" s="191" customFormat="1" ht="15.75" hidden="1" x14ac:dyDescent="0.25">
      <c r="A435" s="396" t="s">
        <v>537</v>
      </c>
      <c r="B435" s="40" t="s">
        <v>234</v>
      </c>
      <c r="C435" s="40" t="s">
        <v>213</v>
      </c>
      <c r="D435" s="20" t="s">
        <v>1142</v>
      </c>
      <c r="E435" s="40"/>
      <c r="F435" s="6">
        <f t="shared" si="74"/>
        <v>0</v>
      </c>
      <c r="G435" s="389">
        <f t="shared" si="74"/>
        <v>0</v>
      </c>
      <c r="H435" s="389" t="e">
        <f t="shared" si="64"/>
        <v>#DIV/0!</v>
      </c>
    </row>
    <row r="436" spans="1:8" s="191" customFormat="1" ht="31.5" hidden="1" x14ac:dyDescent="0.25">
      <c r="A436" s="396" t="s">
        <v>131</v>
      </c>
      <c r="B436" s="40" t="s">
        <v>234</v>
      </c>
      <c r="C436" s="40" t="s">
        <v>213</v>
      </c>
      <c r="D436" s="20" t="s">
        <v>1142</v>
      </c>
      <c r="E436" s="40" t="s">
        <v>132</v>
      </c>
      <c r="F436" s="6">
        <f t="shared" si="74"/>
        <v>0</v>
      </c>
      <c r="G436" s="389">
        <f t="shared" si="74"/>
        <v>0</v>
      </c>
      <c r="H436" s="389" t="e">
        <f t="shared" si="64"/>
        <v>#DIV/0!</v>
      </c>
    </row>
    <row r="437" spans="1:8" s="191" customFormat="1" ht="31.5" hidden="1" x14ac:dyDescent="0.25">
      <c r="A437" s="396" t="s">
        <v>133</v>
      </c>
      <c r="B437" s="40" t="s">
        <v>234</v>
      </c>
      <c r="C437" s="40" t="s">
        <v>213</v>
      </c>
      <c r="D437" s="20" t="s">
        <v>1142</v>
      </c>
      <c r="E437" s="40" t="s">
        <v>134</v>
      </c>
      <c r="F437" s="6">
        <f>'Пр.4 ведом.21'!G1093</f>
        <v>0</v>
      </c>
      <c r="G437" s="389">
        <f>'Пр.4 ведом.21'!H1093</f>
        <v>0</v>
      </c>
      <c r="H437" s="389" t="e">
        <f t="shared" si="64"/>
        <v>#DIV/0!</v>
      </c>
    </row>
    <row r="438" spans="1:8" ht="15.75" x14ac:dyDescent="0.25">
      <c r="A438" s="400" t="s">
        <v>541</v>
      </c>
      <c r="B438" s="7" t="s">
        <v>234</v>
      </c>
      <c r="C438" s="7" t="s">
        <v>215</v>
      </c>
      <c r="D438" s="7"/>
      <c r="E438" s="7"/>
      <c r="F438" s="4">
        <f>F439+F444+F491</f>
        <v>35177.311000000002</v>
      </c>
      <c r="G438" s="388">
        <f>G439+G444+G491</f>
        <v>33068.978999999999</v>
      </c>
      <c r="H438" s="492">
        <f t="shared" si="64"/>
        <v>94.006557237987849</v>
      </c>
    </row>
    <row r="439" spans="1:8" s="191" customFormat="1" ht="15.75" hidden="1" x14ac:dyDescent="0.25">
      <c r="A439" s="394" t="s">
        <v>141</v>
      </c>
      <c r="B439" s="24" t="s">
        <v>234</v>
      </c>
      <c r="C439" s="24" t="s">
        <v>215</v>
      </c>
      <c r="D439" s="24" t="s">
        <v>865</v>
      </c>
      <c r="E439" s="24"/>
      <c r="F439" s="4">
        <f t="shared" ref="F439:G442" si="75">F440</f>
        <v>0</v>
      </c>
      <c r="G439" s="388">
        <f t="shared" si="75"/>
        <v>0</v>
      </c>
      <c r="H439" s="492" t="e">
        <f t="shared" si="64"/>
        <v>#DIV/0!</v>
      </c>
    </row>
    <row r="440" spans="1:8" s="191" customFormat="1" ht="31.5" hidden="1" x14ac:dyDescent="0.25">
      <c r="A440" s="394" t="s">
        <v>869</v>
      </c>
      <c r="B440" s="24" t="s">
        <v>234</v>
      </c>
      <c r="C440" s="24" t="s">
        <v>215</v>
      </c>
      <c r="D440" s="24" t="s">
        <v>864</v>
      </c>
      <c r="E440" s="24"/>
      <c r="F440" s="4">
        <f t="shared" si="75"/>
        <v>0</v>
      </c>
      <c r="G440" s="388">
        <f t="shared" si="75"/>
        <v>0</v>
      </c>
      <c r="H440" s="492" t="e">
        <f t="shared" si="64"/>
        <v>#DIV/0!</v>
      </c>
    </row>
    <row r="441" spans="1:8" s="191" customFormat="1" ht="15.75" hidden="1" x14ac:dyDescent="0.25">
      <c r="A441" s="396" t="s">
        <v>564</v>
      </c>
      <c r="B441" s="20" t="s">
        <v>234</v>
      </c>
      <c r="C441" s="20" t="s">
        <v>215</v>
      </c>
      <c r="D441" s="20" t="s">
        <v>1075</v>
      </c>
      <c r="E441" s="20"/>
      <c r="F441" s="6">
        <f t="shared" si="75"/>
        <v>0</v>
      </c>
      <c r="G441" s="389">
        <f t="shared" si="75"/>
        <v>0</v>
      </c>
      <c r="H441" s="492" t="e">
        <f t="shared" si="64"/>
        <v>#DIV/0!</v>
      </c>
    </row>
    <row r="442" spans="1:8" s="191" customFormat="1" ht="31.5" hidden="1" x14ac:dyDescent="0.25">
      <c r="A442" s="396" t="s">
        <v>131</v>
      </c>
      <c r="B442" s="20" t="s">
        <v>234</v>
      </c>
      <c r="C442" s="20" t="s">
        <v>215</v>
      </c>
      <c r="D442" s="20" t="s">
        <v>1075</v>
      </c>
      <c r="E442" s="20" t="s">
        <v>132</v>
      </c>
      <c r="F442" s="6">
        <f t="shared" si="75"/>
        <v>0</v>
      </c>
      <c r="G442" s="389">
        <f t="shared" si="75"/>
        <v>0</v>
      </c>
      <c r="H442" s="492" t="e">
        <f t="shared" si="64"/>
        <v>#DIV/0!</v>
      </c>
    </row>
    <row r="443" spans="1:8" s="191" customFormat="1" ht="31.5" hidden="1" x14ac:dyDescent="0.25">
      <c r="A443" s="396" t="s">
        <v>133</v>
      </c>
      <c r="B443" s="20" t="s">
        <v>234</v>
      </c>
      <c r="C443" s="20" t="s">
        <v>215</v>
      </c>
      <c r="D443" s="20" t="s">
        <v>1075</v>
      </c>
      <c r="E443" s="20" t="s">
        <v>134</v>
      </c>
      <c r="F443" s="6">
        <f>'Пр.4 ведом.21'!G1099</f>
        <v>0</v>
      </c>
      <c r="G443" s="389">
        <f>'Пр.4 ведом.21'!H1099</f>
        <v>0</v>
      </c>
      <c r="H443" s="492" t="e">
        <f t="shared" si="64"/>
        <v>#DIV/0!</v>
      </c>
    </row>
    <row r="444" spans="1:8" ht="39.4" customHeight="1" x14ac:dyDescent="0.25">
      <c r="A444" s="394" t="s">
        <v>1361</v>
      </c>
      <c r="B444" s="7" t="s">
        <v>234</v>
      </c>
      <c r="C444" s="7" t="s">
        <v>215</v>
      </c>
      <c r="D444" s="7" t="s">
        <v>543</v>
      </c>
      <c r="E444" s="7"/>
      <c r="F444" s="4">
        <f>F445+F449+F476+F483+F487</f>
        <v>10811.800999999999</v>
      </c>
      <c r="G444" s="388">
        <f>G445+G449+G476+G483+G487</f>
        <v>10260.266</v>
      </c>
      <c r="H444" s="492">
        <f t="shared" si="64"/>
        <v>94.898768484547574</v>
      </c>
    </row>
    <row r="445" spans="1:8" s="191" customFormat="1" ht="47.25" hidden="1" x14ac:dyDescent="0.25">
      <c r="A445" s="394" t="s">
        <v>1428</v>
      </c>
      <c r="B445" s="24" t="s">
        <v>234</v>
      </c>
      <c r="C445" s="24" t="s">
        <v>215</v>
      </c>
      <c r="D445" s="24" t="s">
        <v>1271</v>
      </c>
      <c r="E445" s="24"/>
      <c r="F445" s="4">
        <f t="shared" ref="F445:G447" si="76">F446</f>
        <v>0</v>
      </c>
      <c r="G445" s="388">
        <f t="shared" si="76"/>
        <v>0</v>
      </c>
      <c r="H445" s="492" t="e">
        <f t="shared" si="64"/>
        <v>#DIV/0!</v>
      </c>
    </row>
    <row r="446" spans="1:8" s="191" customFormat="1" ht="31.5" hidden="1" x14ac:dyDescent="0.25">
      <c r="A446" s="289" t="s">
        <v>1429</v>
      </c>
      <c r="B446" s="20" t="s">
        <v>234</v>
      </c>
      <c r="C446" s="20" t="s">
        <v>215</v>
      </c>
      <c r="D446" s="20" t="s">
        <v>1418</v>
      </c>
      <c r="E446" s="20"/>
      <c r="F446" s="26">
        <f t="shared" si="76"/>
        <v>0</v>
      </c>
      <c r="G446" s="397">
        <f t="shared" si="76"/>
        <v>0</v>
      </c>
      <c r="H446" s="492" t="e">
        <f t="shared" si="64"/>
        <v>#DIV/0!</v>
      </c>
    </row>
    <row r="447" spans="1:8" s="191" customFormat="1" ht="31.5" hidden="1" x14ac:dyDescent="0.25">
      <c r="A447" s="396" t="s">
        <v>131</v>
      </c>
      <c r="B447" s="20" t="s">
        <v>234</v>
      </c>
      <c r="C447" s="20" t="s">
        <v>215</v>
      </c>
      <c r="D447" s="20" t="s">
        <v>1418</v>
      </c>
      <c r="E447" s="20" t="s">
        <v>132</v>
      </c>
      <c r="F447" s="26">
        <f t="shared" si="76"/>
        <v>0</v>
      </c>
      <c r="G447" s="397">
        <f t="shared" si="76"/>
        <v>0</v>
      </c>
      <c r="H447" s="492" t="e">
        <f t="shared" si="64"/>
        <v>#DIV/0!</v>
      </c>
    </row>
    <row r="448" spans="1:8" s="191" customFormat="1" ht="31.5" hidden="1" x14ac:dyDescent="0.25">
      <c r="A448" s="396" t="s">
        <v>133</v>
      </c>
      <c r="B448" s="20" t="s">
        <v>234</v>
      </c>
      <c r="C448" s="20" t="s">
        <v>215</v>
      </c>
      <c r="D448" s="20" t="s">
        <v>1418</v>
      </c>
      <c r="E448" s="20" t="s">
        <v>134</v>
      </c>
      <c r="F448" s="26">
        <f>'Пр.4 ведом.21'!G1104</f>
        <v>0</v>
      </c>
      <c r="G448" s="397">
        <f>'Пр.4 ведом.21'!H1104</f>
        <v>0</v>
      </c>
      <c r="H448" s="492" t="e">
        <f t="shared" si="64"/>
        <v>#DIV/0!</v>
      </c>
    </row>
    <row r="449" spans="1:8" s="191" customFormat="1" ht="31.5" x14ac:dyDescent="0.25">
      <c r="A449" s="394" t="s">
        <v>1431</v>
      </c>
      <c r="B449" s="24" t="s">
        <v>234</v>
      </c>
      <c r="C449" s="24" t="s">
        <v>215</v>
      </c>
      <c r="D449" s="24" t="s">
        <v>1272</v>
      </c>
      <c r="E449" s="24"/>
      <c r="F449" s="4">
        <f>F450+F453+F459+F462+F465+F470+F473</f>
        <v>2794.2000000000003</v>
      </c>
      <c r="G449" s="388">
        <f>G450+G453+G459+G462+G465+G470+G473</f>
        <v>2243.5720000000001</v>
      </c>
      <c r="H449" s="492">
        <f t="shared" si="64"/>
        <v>80.293894495741171</v>
      </c>
    </row>
    <row r="450" spans="1:8" ht="24" customHeight="1" x14ac:dyDescent="0.25">
      <c r="A450" s="396" t="s">
        <v>546</v>
      </c>
      <c r="B450" s="20" t="s">
        <v>234</v>
      </c>
      <c r="C450" s="20" t="s">
        <v>215</v>
      </c>
      <c r="D450" s="20" t="s">
        <v>1427</v>
      </c>
      <c r="E450" s="20"/>
      <c r="F450" s="6">
        <f t="shared" ref="F450:G451" si="77">F451</f>
        <v>548.29999999999995</v>
      </c>
      <c r="G450" s="389">
        <f t="shared" si="77"/>
        <v>548.15200000000004</v>
      </c>
      <c r="H450" s="389">
        <f t="shared" si="64"/>
        <v>99.973007477658243</v>
      </c>
    </row>
    <row r="451" spans="1:8" ht="31.5" x14ac:dyDescent="0.25">
      <c r="A451" s="396" t="s">
        <v>131</v>
      </c>
      <c r="B451" s="20" t="s">
        <v>234</v>
      </c>
      <c r="C451" s="20" t="s">
        <v>215</v>
      </c>
      <c r="D451" s="20" t="s">
        <v>1427</v>
      </c>
      <c r="E451" s="20" t="s">
        <v>132</v>
      </c>
      <c r="F451" s="6">
        <f t="shared" si="77"/>
        <v>548.29999999999995</v>
      </c>
      <c r="G451" s="389">
        <f t="shared" si="77"/>
        <v>548.15200000000004</v>
      </c>
      <c r="H451" s="389">
        <f t="shared" si="64"/>
        <v>99.973007477658243</v>
      </c>
    </row>
    <row r="452" spans="1:8" ht="31.5" x14ac:dyDescent="0.25">
      <c r="A452" s="396" t="s">
        <v>133</v>
      </c>
      <c r="B452" s="20" t="s">
        <v>234</v>
      </c>
      <c r="C452" s="20" t="s">
        <v>215</v>
      </c>
      <c r="D452" s="20" t="s">
        <v>1427</v>
      </c>
      <c r="E452" s="20" t="s">
        <v>134</v>
      </c>
      <c r="F452" s="6">
        <f>'Пр.4 ведом.21'!G1108</f>
        <v>548.29999999999995</v>
      </c>
      <c r="G452" s="389">
        <f>'Пр.4 ведом.21'!H1108</f>
        <v>548.15200000000004</v>
      </c>
      <c r="H452" s="389">
        <f t="shared" si="64"/>
        <v>99.973007477658243</v>
      </c>
    </row>
    <row r="453" spans="1:8" ht="15.75" x14ac:dyDescent="0.25">
      <c r="A453" s="396" t="s">
        <v>548</v>
      </c>
      <c r="B453" s="20" t="s">
        <v>234</v>
      </c>
      <c r="C453" s="20" t="s">
        <v>215</v>
      </c>
      <c r="D453" s="20" t="s">
        <v>1417</v>
      </c>
      <c r="E453" s="20"/>
      <c r="F453" s="6">
        <f>F454+F456</f>
        <v>1922.8000000000002</v>
      </c>
      <c r="G453" s="389">
        <f>G454+G456</f>
        <v>1372.5150000000001</v>
      </c>
      <c r="H453" s="389">
        <f t="shared" si="64"/>
        <v>71.381058872477638</v>
      </c>
    </row>
    <row r="454" spans="1:8" ht="31.5" x14ac:dyDescent="0.25">
      <c r="A454" s="396" t="s">
        <v>131</v>
      </c>
      <c r="B454" s="20" t="s">
        <v>234</v>
      </c>
      <c r="C454" s="20" t="s">
        <v>215</v>
      </c>
      <c r="D454" s="20" t="s">
        <v>1417</v>
      </c>
      <c r="E454" s="20" t="s">
        <v>132</v>
      </c>
      <c r="F454" s="6">
        <f t="shared" ref="F454:G454" si="78">F455</f>
        <v>1922.8000000000002</v>
      </c>
      <c r="G454" s="389">
        <f t="shared" si="78"/>
        <v>1372.5150000000001</v>
      </c>
      <c r="H454" s="389">
        <f t="shared" si="64"/>
        <v>71.381058872477638</v>
      </c>
    </row>
    <row r="455" spans="1:8" ht="31.5" x14ac:dyDescent="0.25">
      <c r="A455" s="396" t="s">
        <v>133</v>
      </c>
      <c r="B455" s="20" t="s">
        <v>234</v>
      </c>
      <c r="C455" s="20" t="s">
        <v>215</v>
      </c>
      <c r="D455" s="20" t="s">
        <v>1417</v>
      </c>
      <c r="E455" s="20" t="s">
        <v>134</v>
      </c>
      <c r="F455" s="6">
        <f>'Пр.4 ведом.21'!G1111</f>
        <v>1922.8000000000002</v>
      </c>
      <c r="G455" s="389">
        <f>'Пр.4 ведом.21'!H1111</f>
        <v>1372.5150000000001</v>
      </c>
      <c r="H455" s="389">
        <f t="shared" si="64"/>
        <v>71.381058872477638</v>
      </c>
    </row>
    <row r="456" spans="1:8" ht="15.75" hidden="1" x14ac:dyDescent="0.25">
      <c r="A456" s="29" t="s">
        <v>135</v>
      </c>
      <c r="B456" s="20" t="s">
        <v>234</v>
      </c>
      <c r="C456" s="20" t="s">
        <v>215</v>
      </c>
      <c r="D456" s="20" t="s">
        <v>1417</v>
      </c>
      <c r="E456" s="20" t="s">
        <v>145</v>
      </c>
      <c r="F456" s="6">
        <f>F458+F457</f>
        <v>0</v>
      </c>
      <c r="G456" s="389">
        <f>G458+G457</f>
        <v>0</v>
      </c>
      <c r="H456" s="389" t="e">
        <f t="shared" si="64"/>
        <v>#DIV/0!</v>
      </c>
    </row>
    <row r="457" spans="1:8" s="191" customFormat="1" ht="47.25" hidden="1" x14ac:dyDescent="0.25">
      <c r="A457" s="396" t="s">
        <v>835</v>
      </c>
      <c r="B457" s="20" t="s">
        <v>234</v>
      </c>
      <c r="C457" s="20" t="s">
        <v>215</v>
      </c>
      <c r="D457" s="20" t="s">
        <v>1417</v>
      </c>
      <c r="E457" s="20" t="s">
        <v>147</v>
      </c>
      <c r="F457" s="6">
        <f>'Пр.4 ведом.21'!G1113</f>
        <v>0</v>
      </c>
      <c r="G457" s="389">
        <f>'Пр.4 ведом.21'!H1113</f>
        <v>0</v>
      </c>
      <c r="H457" s="389" t="e">
        <f t="shared" ref="H457:H520" si="79">G457/F457*100</f>
        <v>#DIV/0!</v>
      </c>
    </row>
    <row r="458" spans="1:8" ht="15.75" hidden="1" x14ac:dyDescent="0.25">
      <c r="A458" s="29" t="s">
        <v>568</v>
      </c>
      <c r="B458" s="20" t="s">
        <v>234</v>
      </c>
      <c r="C458" s="20" t="s">
        <v>215</v>
      </c>
      <c r="D458" s="20" t="s">
        <v>1417</v>
      </c>
      <c r="E458" s="20" t="s">
        <v>138</v>
      </c>
      <c r="F458" s="6">
        <f>'Пр.4 ведом.21'!G1114</f>
        <v>0</v>
      </c>
      <c r="G458" s="389">
        <f>'Пр.4 ведом.21'!H1114</f>
        <v>0</v>
      </c>
      <c r="H458" s="389" t="e">
        <f t="shared" si="79"/>
        <v>#DIV/0!</v>
      </c>
    </row>
    <row r="459" spans="1:8" ht="15.75" hidden="1" x14ac:dyDescent="0.25">
      <c r="A459" s="396" t="s">
        <v>550</v>
      </c>
      <c r="B459" s="20" t="s">
        <v>234</v>
      </c>
      <c r="C459" s="20" t="s">
        <v>215</v>
      </c>
      <c r="D459" s="20" t="s">
        <v>1296</v>
      </c>
      <c r="E459" s="20"/>
      <c r="F459" s="6">
        <f t="shared" ref="F459:G460" si="80">F460</f>
        <v>0</v>
      </c>
      <c r="G459" s="389">
        <f t="shared" si="80"/>
        <v>0</v>
      </c>
      <c r="H459" s="389" t="e">
        <f t="shared" si="79"/>
        <v>#DIV/0!</v>
      </c>
    </row>
    <row r="460" spans="1:8" ht="31.5" hidden="1" x14ac:dyDescent="0.25">
      <c r="A460" s="396" t="s">
        <v>131</v>
      </c>
      <c r="B460" s="20" t="s">
        <v>234</v>
      </c>
      <c r="C460" s="20" t="s">
        <v>215</v>
      </c>
      <c r="D460" s="20" t="s">
        <v>1296</v>
      </c>
      <c r="E460" s="20" t="s">
        <v>132</v>
      </c>
      <c r="F460" s="6">
        <f t="shared" si="80"/>
        <v>0</v>
      </c>
      <c r="G460" s="389">
        <f t="shared" si="80"/>
        <v>0</v>
      </c>
      <c r="H460" s="389" t="e">
        <f t="shared" si="79"/>
        <v>#DIV/0!</v>
      </c>
    </row>
    <row r="461" spans="1:8" ht="31.5" hidden="1" x14ac:dyDescent="0.25">
      <c r="A461" s="396" t="s">
        <v>133</v>
      </c>
      <c r="B461" s="20" t="s">
        <v>234</v>
      </c>
      <c r="C461" s="20" t="s">
        <v>215</v>
      </c>
      <c r="D461" s="20" t="s">
        <v>1296</v>
      </c>
      <c r="E461" s="20" t="s">
        <v>134</v>
      </c>
      <c r="F461" s="6">
        <f>'Пр.4 ведом.21'!G1117</f>
        <v>0</v>
      </c>
      <c r="G461" s="389">
        <f>'Пр.4 ведом.21'!H1117</f>
        <v>0</v>
      </c>
      <c r="H461" s="389" t="e">
        <f t="shared" si="79"/>
        <v>#DIV/0!</v>
      </c>
    </row>
    <row r="462" spans="1:8" ht="15.75" x14ac:dyDescent="0.25">
      <c r="A462" s="396" t="s">
        <v>555</v>
      </c>
      <c r="B462" s="20" t="s">
        <v>234</v>
      </c>
      <c r="C462" s="20" t="s">
        <v>215</v>
      </c>
      <c r="D462" s="20" t="s">
        <v>1273</v>
      </c>
      <c r="E462" s="20"/>
      <c r="F462" s="6">
        <f t="shared" ref="F462:G463" si="81">F463</f>
        <v>16.100000000000001</v>
      </c>
      <c r="G462" s="389">
        <f t="shared" si="81"/>
        <v>16.03</v>
      </c>
      <c r="H462" s="389">
        <f t="shared" si="79"/>
        <v>99.565217391304344</v>
      </c>
    </row>
    <row r="463" spans="1:8" ht="31.5" x14ac:dyDescent="0.25">
      <c r="A463" s="396" t="s">
        <v>131</v>
      </c>
      <c r="B463" s="20" t="s">
        <v>234</v>
      </c>
      <c r="C463" s="20" t="s">
        <v>215</v>
      </c>
      <c r="D463" s="20" t="s">
        <v>1273</v>
      </c>
      <c r="E463" s="20" t="s">
        <v>132</v>
      </c>
      <c r="F463" s="6">
        <f t="shared" si="81"/>
        <v>16.100000000000001</v>
      </c>
      <c r="G463" s="389">
        <f t="shared" si="81"/>
        <v>16.03</v>
      </c>
      <c r="H463" s="389">
        <f t="shared" si="79"/>
        <v>99.565217391304344</v>
      </c>
    </row>
    <row r="464" spans="1:8" ht="31.5" x14ac:dyDescent="0.25">
      <c r="A464" s="396" t="s">
        <v>133</v>
      </c>
      <c r="B464" s="20" t="s">
        <v>234</v>
      </c>
      <c r="C464" s="20" t="s">
        <v>215</v>
      </c>
      <c r="D464" s="20" t="s">
        <v>1273</v>
      </c>
      <c r="E464" s="20" t="s">
        <v>134</v>
      </c>
      <c r="F464" s="6">
        <f>'Пр.4 ведом.21'!G1120</f>
        <v>16.100000000000001</v>
      </c>
      <c r="G464" s="389">
        <f>'Пр.4 ведом.21'!H1120</f>
        <v>16.03</v>
      </c>
      <c r="H464" s="389">
        <f t="shared" si="79"/>
        <v>99.565217391304344</v>
      </c>
    </row>
    <row r="465" spans="1:8" ht="31.5" x14ac:dyDescent="0.25">
      <c r="A465" s="287" t="s">
        <v>1430</v>
      </c>
      <c r="B465" s="20" t="s">
        <v>234</v>
      </c>
      <c r="C465" s="20" t="s">
        <v>215</v>
      </c>
      <c r="D465" s="20" t="s">
        <v>1274</v>
      </c>
      <c r="E465" s="20"/>
      <c r="F465" s="6">
        <f>F466+F468</f>
        <v>20.5</v>
      </c>
      <c r="G465" s="389">
        <f>G466+G468</f>
        <v>20.420000000000002</v>
      </c>
      <c r="H465" s="389">
        <f t="shared" si="79"/>
        <v>99.609756097560989</v>
      </c>
    </row>
    <row r="466" spans="1:8" ht="31.5" x14ac:dyDescent="0.25">
      <c r="A466" s="396" t="s">
        <v>131</v>
      </c>
      <c r="B466" s="20" t="s">
        <v>234</v>
      </c>
      <c r="C466" s="20" t="s">
        <v>215</v>
      </c>
      <c r="D466" s="20" t="s">
        <v>1274</v>
      </c>
      <c r="E466" s="20" t="s">
        <v>132</v>
      </c>
      <c r="F466" s="6">
        <f t="shared" ref="F466:G466" si="82">F467</f>
        <v>20.5</v>
      </c>
      <c r="G466" s="389">
        <f t="shared" si="82"/>
        <v>20.420000000000002</v>
      </c>
      <c r="H466" s="389">
        <f t="shared" si="79"/>
        <v>99.609756097560989</v>
      </c>
    </row>
    <row r="467" spans="1:8" ht="31.5" x14ac:dyDescent="0.25">
      <c r="A467" s="396" t="s">
        <v>133</v>
      </c>
      <c r="B467" s="20" t="s">
        <v>234</v>
      </c>
      <c r="C467" s="20" t="s">
        <v>215</v>
      </c>
      <c r="D467" s="20" t="s">
        <v>1274</v>
      </c>
      <c r="E467" s="20" t="s">
        <v>134</v>
      </c>
      <c r="F467" s="6">
        <f>'Пр.4 ведом.21'!G1123</f>
        <v>20.5</v>
      </c>
      <c r="G467" s="389">
        <f>'Пр.4 ведом.21'!H1123</f>
        <v>20.420000000000002</v>
      </c>
      <c r="H467" s="389">
        <f t="shared" si="79"/>
        <v>99.609756097560989</v>
      </c>
    </row>
    <row r="468" spans="1:8" s="191" customFormat="1" ht="15.75" hidden="1" x14ac:dyDescent="0.25">
      <c r="A468" s="29" t="s">
        <v>135</v>
      </c>
      <c r="B468" s="20" t="s">
        <v>234</v>
      </c>
      <c r="C468" s="20" t="s">
        <v>215</v>
      </c>
      <c r="D468" s="20" t="s">
        <v>1274</v>
      </c>
      <c r="E468" s="20" t="s">
        <v>145</v>
      </c>
      <c r="F468" s="6">
        <f>F469</f>
        <v>0</v>
      </c>
      <c r="G468" s="389">
        <f>G469</f>
        <v>0</v>
      </c>
      <c r="H468" s="389" t="e">
        <f t="shared" si="79"/>
        <v>#DIV/0!</v>
      </c>
    </row>
    <row r="469" spans="1:8" s="191" customFormat="1" ht="15.75" hidden="1" x14ac:dyDescent="0.25">
      <c r="A469" s="29" t="s">
        <v>568</v>
      </c>
      <c r="B469" s="20" t="s">
        <v>234</v>
      </c>
      <c r="C469" s="20" t="s">
        <v>215</v>
      </c>
      <c r="D469" s="20" t="s">
        <v>1274</v>
      </c>
      <c r="E469" s="20" t="s">
        <v>138</v>
      </c>
      <c r="F469" s="6">
        <f>'Пр.4 ведом.21'!G1125</f>
        <v>0</v>
      </c>
      <c r="G469" s="389">
        <f>'Пр.4 ведом.21'!H1125</f>
        <v>0</v>
      </c>
      <c r="H469" s="389" t="e">
        <f t="shared" si="79"/>
        <v>#DIV/0!</v>
      </c>
    </row>
    <row r="470" spans="1:8" ht="15.75" hidden="1" x14ac:dyDescent="0.25">
      <c r="A470" s="98" t="s">
        <v>559</v>
      </c>
      <c r="B470" s="20" t="s">
        <v>234</v>
      </c>
      <c r="C470" s="20" t="s">
        <v>215</v>
      </c>
      <c r="D470" s="20" t="s">
        <v>1275</v>
      </c>
      <c r="E470" s="20"/>
      <c r="F470" s="6">
        <f t="shared" ref="F470:G471" si="83">F471</f>
        <v>0</v>
      </c>
      <c r="G470" s="389">
        <f t="shared" si="83"/>
        <v>0</v>
      </c>
      <c r="H470" s="389" t="e">
        <f t="shared" si="79"/>
        <v>#DIV/0!</v>
      </c>
    </row>
    <row r="471" spans="1:8" ht="31.5" hidden="1" x14ac:dyDescent="0.25">
      <c r="A471" s="396" t="s">
        <v>131</v>
      </c>
      <c r="B471" s="20" t="s">
        <v>234</v>
      </c>
      <c r="C471" s="20" t="s">
        <v>215</v>
      </c>
      <c r="D471" s="20" t="s">
        <v>1275</v>
      </c>
      <c r="E471" s="20" t="s">
        <v>132</v>
      </c>
      <c r="F471" s="6">
        <f t="shared" si="83"/>
        <v>0</v>
      </c>
      <c r="G471" s="389">
        <f t="shared" si="83"/>
        <v>0</v>
      </c>
      <c r="H471" s="389" t="e">
        <f t="shared" si="79"/>
        <v>#DIV/0!</v>
      </c>
    </row>
    <row r="472" spans="1:8" ht="31.5" hidden="1" x14ac:dyDescent="0.25">
      <c r="A472" s="396" t="s">
        <v>133</v>
      </c>
      <c r="B472" s="20" t="s">
        <v>234</v>
      </c>
      <c r="C472" s="20" t="s">
        <v>215</v>
      </c>
      <c r="D472" s="20" t="s">
        <v>1275</v>
      </c>
      <c r="E472" s="20" t="s">
        <v>134</v>
      </c>
      <c r="F472" s="6">
        <f>'Пр.4 ведом.21'!G1128</f>
        <v>0</v>
      </c>
      <c r="G472" s="389">
        <f>'Пр.4 ведом.21'!H1128</f>
        <v>0</v>
      </c>
      <c r="H472" s="389" t="e">
        <f t="shared" si="79"/>
        <v>#DIV/0!</v>
      </c>
    </row>
    <row r="473" spans="1:8" s="191" customFormat="1" ht="31.5" x14ac:dyDescent="0.25">
      <c r="A473" s="213" t="s">
        <v>1089</v>
      </c>
      <c r="B473" s="20" t="s">
        <v>234</v>
      </c>
      <c r="C473" s="20" t="s">
        <v>215</v>
      </c>
      <c r="D473" s="20" t="s">
        <v>1276</v>
      </c>
      <c r="E473" s="20"/>
      <c r="F473" s="26">
        <f>F474</f>
        <v>286.5</v>
      </c>
      <c r="G473" s="397">
        <f>G474</f>
        <v>286.45499999999998</v>
      </c>
      <c r="H473" s="389">
        <f t="shared" si="79"/>
        <v>99.984293193717278</v>
      </c>
    </row>
    <row r="474" spans="1:8" s="191" customFormat="1" ht="31.5" x14ac:dyDescent="0.25">
      <c r="A474" s="396" t="s">
        <v>131</v>
      </c>
      <c r="B474" s="20" t="s">
        <v>234</v>
      </c>
      <c r="C474" s="20" t="s">
        <v>215</v>
      </c>
      <c r="D474" s="20" t="s">
        <v>1276</v>
      </c>
      <c r="E474" s="20" t="s">
        <v>132</v>
      </c>
      <c r="F474" s="26">
        <f>F475</f>
        <v>286.5</v>
      </c>
      <c r="G474" s="397">
        <f>G475</f>
        <v>286.45499999999998</v>
      </c>
      <c r="H474" s="389">
        <f t="shared" si="79"/>
        <v>99.984293193717278</v>
      </c>
    </row>
    <row r="475" spans="1:8" s="191" customFormat="1" ht="31.5" x14ac:dyDescent="0.25">
      <c r="A475" s="396" t="s">
        <v>133</v>
      </c>
      <c r="B475" s="20" t="s">
        <v>234</v>
      </c>
      <c r="C475" s="20" t="s">
        <v>215</v>
      </c>
      <c r="D475" s="20" t="s">
        <v>1276</v>
      </c>
      <c r="E475" s="20" t="s">
        <v>134</v>
      </c>
      <c r="F475" s="26">
        <f>'Пр.4 ведом.21'!G1131</f>
        <v>286.5</v>
      </c>
      <c r="G475" s="397">
        <f>'Пр.4 ведом.21'!H1131</f>
        <v>286.45499999999998</v>
      </c>
      <c r="H475" s="389">
        <f t="shared" si="79"/>
        <v>99.984293193717278</v>
      </c>
    </row>
    <row r="476" spans="1:8" s="191" customFormat="1" ht="31.5" x14ac:dyDescent="0.25">
      <c r="A476" s="394" t="s">
        <v>890</v>
      </c>
      <c r="B476" s="7" t="s">
        <v>234</v>
      </c>
      <c r="C476" s="7" t="s">
        <v>215</v>
      </c>
      <c r="D476" s="24" t="s">
        <v>1294</v>
      </c>
      <c r="E476" s="24"/>
      <c r="F476" s="4">
        <f>F477+F480</f>
        <v>1857.2</v>
      </c>
      <c r="G476" s="388">
        <f>G477+G480</f>
        <v>1856.3209999999999</v>
      </c>
      <c r="H476" s="492">
        <f t="shared" si="79"/>
        <v>99.952670687055772</v>
      </c>
    </row>
    <row r="477" spans="1:8" s="191" customFormat="1" ht="31.5" hidden="1" x14ac:dyDescent="0.25">
      <c r="A477" s="396" t="s">
        <v>690</v>
      </c>
      <c r="B477" s="20" t="s">
        <v>234</v>
      </c>
      <c r="C477" s="20" t="s">
        <v>215</v>
      </c>
      <c r="D477" s="20" t="s">
        <v>1325</v>
      </c>
      <c r="E477" s="20"/>
      <c r="F477" s="6">
        <f t="shared" ref="F477:G477" si="84">F478</f>
        <v>0</v>
      </c>
      <c r="G477" s="389">
        <f t="shared" si="84"/>
        <v>0</v>
      </c>
      <c r="H477" s="389" t="e">
        <f t="shared" si="79"/>
        <v>#DIV/0!</v>
      </c>
    </row>
    <row r="478" spans="1:8" s="191" customFormat="1" ht="31.5" hidden="1" x14ac:dyDescent="0.25">
      <c r="A478" s="396" t="s">
        <v>131</v>
      </c>
      <c r="B478" s="20" t="s">
        <v>234</v>
      </c>
      <c r="C478" s="20" t="s">
        <v>215</v>
      </c>
      <c r="D478" s="20" t="s">
        <v>1325</v>
      </c>
      <c r="E478" s="20" t="s">
        <v>132</v>
      </c>
      <c r="F478" s="6">
        <f>F479</f>
        <v>0</v>
      </c>
      <c r="G478" s="389">
        <f>G479</f>
        <v>0</v>
      </c>
      <c r="H478" s="389" t="e">
        <f t="shared" si="79"/>
        <v>#DIV/0!</v>
      </c>
    </row>
    <row r="479" spans="1:8" s="191" customFormat="1" ht="31.5" hidden="1" x14ac:dyDescent="0.25">
      <c r="A479" s="396" t="s">
        <v>133</v>
      </c>
      <c r="B479" s="20" t="s">
        <v>234</v>
      </c>
      <c r="C479" s="20" t="s">
        <v>215</v>
      </c>
      <c r="D479" s="20" t="s">
        <v>1325</v>
      </c>
      <c r="E479" s="20" t="s">
        <v>134</v>
      </c>
      <c r="F479" s="6">
        <f>'Пр.4 ведом.21'!G1135</f>
        <v>0</v>
      </c>
      <c r="G479" s="389">
        <f>'Пр.4 ведом.21'!H1135</f>
        <v>0</v>
      </c>
      <c r="H479" s="389" t="e">
        <f t="shared" si="79"/>
        <v>#DIV/0!</v>
      </c>
    </row>
    <row r="480" spans="1:8" s="191" customFormat="1" ht="63" x14ac:dyDescent="0.25">
      <c r="A480" s="396" t="s">
        <v>1071</v>
      </c>
      <c r="B480" s="20" t="s">
        <v>234</v>
      </c>
      <c r="C480" s="20" t="s">
        <v>215</v>
      </c>
      <c r="D480" s="20" t="s">
        <v>1293</v>
      </c>
      <c r="E480" s="20"/>
      <c r="F480" s="494">
        <f>F481</f>
        <v>1857.2</v>
      </c>
      <c r="G480" s="389">
        <f>G481</f>
        <v>1856.3209999999999</v>
      </c>
      <c r="H480" s="389">
        <f t="shared" si="79"/>
        <v>99.952670687055772</v>
      </c>
    </row>
    <row r="481" spans="1:8" s="191" customFormat="1" ht="31.5" x14ac:dyDescent="0.25">
      <c r="A481" s="396" t="s">
        <v>131</v>
      </c>
      <c r="B481" s="20" t="s">
        <v>234</v>
      </c>
      <c r="C481" s="20" t="s">
        <v>215</v>
      </c>
      <c r="D481" s="20" t="s">
        <v>1293</v>
      </c>
      <c r="E481" s="20" t="s">
        <v>132</v>
      </c>
      <c r="F481" s="494">
        <f>F482</f>
        <v>1857.2</v>
      </c>
      <c r="G481" s="389">
        <f>G482</f>
        <v>1856.3209999999999</v>
      </c>
      <c r="H481" s="389">
        <f t="shared" si="79"/>
        <v>99.952670687055772</v>
      </c>
    </row>
    <row r="482" spans="1:8" s="191" customFormat="1" ht="31.5" x14ac:dyDescent="0.25">
      <c r="A482" s="396" t="s">
        <v>133</v>
      </c>
      <c r="B482" s="20" t="s">
        <v>234</v>
      </c>
      <c r="C482" s="20" t="s">
        <v>215</v>
      </c>
      <c r="D482" s="20" t="s">
        <v>1293</v>
      </c>
      <c r="E482" s="20" t="s">
        <v>134</v>
      </c>
      <c r="F482" s="494">
        <f>'Пр.4 ведом.21'!G1138</f>
        <v>1857.2</v>
      </c>
      <c r="G482" s="389">
        <f>'Пр.4 ведом.21'!H1138</f>
        <v>1856.3209999999999</v>
      </c>
      <c r="H482" s="389">
        <f t="shared" si="79"/>
        <v>99.952670687055772</v>
      </c>
    </row>
    <row r="483" spans="1:8" s="387" customFormat="1" ht="31.5" x14ac:dyDescent="0.25">
      <c r="A483" s="34" t="s">
        <v>1571</v>
      </c>
      <c r="B483" s="395" t="s">
        <v>234</v>
      </c>
      <c r="C483" s="395" t="s">
        <v>215</v>
      </c>
      <c r="D483" s="395" t="s">
        <v>1572</v>
      </c>
      <c r="E483" s="395"/>
      <c r="F483" s="498">
        <f t="shared" ref="F483:G485" si="85">F484</f>
        <v>1523.201</v>
      </c>
      <c r="G483" s="388">
        <f t="shared" si="85"/>
        <v>1523.1969999999999</v>
      </c>
      <c r="H483" s="492">
        <f t="shared" si="79"/>
        <v>99.999737395130367</v>
      </c>
    </row>
    <row r="484" spans="1:8" s="387" customFormat="1" ht="31.5" x14ac:dyDescent="0.25">
      <c r="A484" s="31" t="s">
        <v>1570</v>
      </c>
      <c r="B484" s="392" t="s">
        <v>234</v>
      </c>
      <c r="C484" s="392" t="s">
        <v>215</v>
      </c>
      <c r="D484" s="392" t="s">
        <v>1573</v>
      </c>
      <c r="E484" s="392"/>
      <c r="F484" s="494">
        <f t="shared" si="85"/>
        <v>1523.201</v>
      </c>
      <c r="G484" s="389">
        <f t="shared" si="85"/>
        <v>1523.1969999999999</v>
      </c>
      <c r="H484" s="389">
        <f t="shared" si="79"/>
        <v>99.999737395130367</v>
      </c>
    </row>
    <row r="485" spans="1:8" s="387" customFormat="1" ht="31.5" x14ac:dyDescent="0.25">
      <c r="A485" s="396" t="s">
        <v>131</v>
      </c>
      <c r="B485" s="392" t="s">
        <v>234</v>
      </c>
      <c r="C485" s="392" t="s">
        <v>215</v>
      </c>
      <c r="D485" s="392" t="s">
        <v>1573</v>
      </c>
      <c r="E485" s="392" t="s">
        <v>132</v>
      </c>
      <c r="F485" s="389">
        <f t="shared" si="85"/>
        <v>1523.201</v>
      </c>
      <c r="G485" s="389">
        <f t="shared" si="85"/>
        <v>1523.1969999999999</v>
      </c>
      <c r="H485" s="389">
        <f t="shared" si="79"/>
        <v>99.999737395130367</v>
      </c>
    </row>
    <row r="486" spans="1:8" s="387" customFormat="1" ht="31.5" x14ac:dyDescent="0.25">
      <c r="A486" s="396" t="s">
        <v>133</v>
      </c>
      <c r="B486" s="392" t="s">
        <v>234</v>
      </c>
      <c r="C486" s="392" t="s">
        <v>215</v>
      </c>
      <c r="D486" s="392" t="s">
        <v>1573</v>
      </c>
      <c r="E486" s="392" t="s">
        <v>134</v>
      </c>
      <c r="F486" s="389">
        <f>'Пр.4 ведом.21'!G1142</f>
        <v>1523.201</v>
      </c>
      <c r="G486" s="389">
        <f>'Пр.4 ведом.21'!H1142</f>
        <v>1523.1969999999999</v>
      </c>
      <c r="H486" s="389">
        <f t="shared" si="79"/>
        <v>99.999737395130367</v>
      </c>
    </row>
    <row r="487" spans="1:8" s="387" customFormat="1" ht="47.25" x14ac:dyDescent="0.25">
      <c r="A487" s="34" t="s">
        <v>1599</v>
      </c>
      <c r="B487" s="395" t="s">
        <v>234</v>
      </c>
      <c r="C487" s="395" t="s">
        <v>215</v>
      </c>
      <c r="D487" s="395" t="s">
        <v>1596</v>
      </c>
      <c r="E487" s="395"/>
      <c r="F487" s="388">
        <f t="shared" ref="F487:G489" si="86">F488</f>
        <v>4637.2</v>
      </c>
      <c r="G487" s="388">
        <f t="shared" si="86"/>
        <v>4637.1760000000004</v>
      </c>
      <c r="H487" s="492">
        <f t="shared" si="79"/>
        <v>99.999482446303816</v>
      </c>
    </row>
    <row r="488" spans="1:8" s="387" customFormat="1" ht="47.25" x14ac:dyDescent="0.25">
      <c r="A488" s="31" t="s">
        <v>1597</v>
      </c>
      <c r="B488" s="392" t="s">
        <v>234</v>
      </c>
      <c r="C488" s="392" t="s">
        <v>215</v>
      </c>
      <c r="D488" s="392" t="s">
        <v>1605</v>
      </c>
      <c r="E488" s="392"/>
      <c r="F488" s="389">
        <f t="shared" si="86"/>
        <v>4637.2</v>
      </c>
      <c r="G488" s="389">
        <f t="shared" si="86"/>
        <v>4637.1760000000004</v>
      </c>
      <c r="H488" s="389">
        <f t="shared" si="79"/>
        <v>99.999482446303816</v>
      </c>
    </row>
    <row r="489" spans="1:8" s="387" customFormat="1" ht="31.5" x14ac:dyDescent="0.25">
      <c r="A489" s="396" t="s">
        <v>131</v>
      </c>
      <c r="B489" s="392" t="s">
        <v>234</v>
      </c>
      <c r="C489" s="392" t="s">
        <v>215</v>
      </c>
      <c r="D489" s="392" t="s">
        <v>1605</v>
      </c>
      <c r="E489" s="392" t="s">
        <v>132</v>
      </c>
      <c r="F489" s="389">
        <f t="shared" si="86"/>
        <v>4637.2</v>
      </c>
      <c r="G489" s="389">
        <f t="shared" si="86"/>
        <v>4637.1760000000004</v>
      </c>
      <c r="H489" s="389">
        <f t="shared" si="79"/>
        <v>99.999482446303816</v>
      </c>
    </row>
    <row r="490" spans="1:8" s="387" customFormat="1" ht="33.75" customHeight="1" x14ac:dyDescent="0.25">
      <c r="A490" s="396" t="s">
        <v>133</v>
      </c>
      <c r="B490" s="392" t="s">
        <v>234</v>
      </c>
      <c r="C490" s="392" t="s">
        <v>215</v>
      </c>
      <c r="D490" s="392" t="s">
        <v>1605</v>
      </c>
      <c r="E490" s="392" t="s">
        <v>134</v>
      </c>
      <c r="F490" s="389">
        <f>'Пр.4 ведом.21'!G1146</f>
        <v>4637.2</v>
      </c>
      <c r="G490" s="389">
        <f>'Пр.4 ведом.21'!H1146</f>
        <v>4637.1760000000004</v>
      </c>
      <c r="H490" s="389">
        <f t="shared" si="79"/>
        <v>99.999482446303816</v>
      </c>
    </row>
    <row r="491" spans="1:8" ht="63" x14ac:dyDescent="0.25">
      <c r="A491" s="394" t="s">
        <v>1513</v>
      </c>
      <c r="B491" s="24" t="s">
        <v>234</v>
      </c>
      <c r="C491" s="24" t="s">
        <v>215</v>
      </c>
      <c r="D491" s="24" t="s">
        <v>711</v>
      </c>
      <c r="E491" s="24"/>
      <c r="F491" s="4">
        <f>F493+F497</f>
        <v>24365.510000000002</v>
      </c>
      <c r="G491" s="388">
        <f>G493+G497</f>
        <v>22808.713</v>
      </c>
      <c r="H491" s="492">
        <f t="shared" si="79"/>
        <v>93.610652927026763</v>
      </c>
    </row>
    <row r="492" spans="1:8" s="191" customFormat="1" ht="31.5" x14ac:dyDescent="0.25">
      <c r="A492" s="394" t="s">
        <v>1067</v>
      </c>
      <c r="B492" s="24" t="s">
        <v>234</v>
      </c>
      <c r="C492" s="24" t="s">
        <v>215</v>
      </c>
      <c r="D492" s="24" t="s">
        <v>834</v>
      </c>
      <c r="E492" s="20"/>
      <c r="F492" s="4">
        <f>F493</f>
        <v>22809.004000000001</v>
      </c>
      <c r="G492" s="388">
        <f>G493</f>
        <v>22808.713</v>
      </c>
      <c r="H492" s="492">
        <f t="shared" si="79"/>
        <v>99.998724188044335</v>
      </c>
    </row>
    <row r="493" spans="1:8" ht="31.5" x14ac:dyDescent="0.25">
      <c r="A493" s="235" t="s">
        <v>710</v>
      </c>
      <c r="B493" s="20" t="s">
        <v>234</v>
      </c>
      <c r="C493" s="20" t="s">
        <v>215</v>
      </c>
      <c r="D493" s="20" t="s">
        <v>834</v>
      </c>
      <c r="E493" s="20"/>
      <c r="F493" s="6">
        <f t="shared" ref="F493:G494" si="87">F494</f>
        <v>22809.004000000001</v>
      </c>
      <c r="G493" s="389">
        <f t="shared" si="87"/>
        <v>22808.713</v>
      </c>
      <c r="H493" s="389">
        <f t="shared" si="79"/>
        <v>99.998724188044335</v>
      </c>
    </row>
    <row r="494" spans="1:8" ht="31.5" x14ac:dyDescent="0.25">
      <c r="A494" s="396" t="s">
        <v>131</v>
      </c>
      <c r="B494" s="20" t="s">
        <v>234</v>
      </c>
      <c r="C494" s="20" t="s">
        <v>215</v>
      </c>
      <c r="D494" s="20" t="s">
        <v>834</v>
      </c>
      <c r="E494" s="20" t="s">
        <v>132</v>
      </c>
      <c r="F494" s="6">
        <f t="shared" si="87"/>
        <v>22809.004000000001</v>
      </c>
      <c r="G494" s="389">
        <f t="shared" si="87"/>
        <v>22808.713</v>
      </c>
      <c r="H494" s="389">
        <f t="shared" si="79"/>
        <v>99.998724188044335</v>
      </c>
    </row>
    <row r="495" spans="1:8" ht="31.5" x14ac:dyDescent="0.25">
      <c r="A495" s="396" t="s">
        <v>133</v>
      </c>
      <c r="B495" s="20" t="s">
        <v>234</v>
      </c>
      <c r="C495" s="20" t="s">
        <v>215</v>
      </c>
      <c r="D495" s="20" t="s">
        <v>834</v>
      </c>
      <c r="E495" s="20" t="s">
        <v>134</v>
      </c>
      <c r="F495" s="6">
        <f>'Пр.4 ведом.21'!G1151</f>
        <v>22809.004000000001</v>
      </c>
      <c r="G495" s="389">
        <f>'Пр.4 ведом.21'!H1151</f>
        <v>22808.713</v>
      </c>
      <c r="H495" s="389">
        <f t="shared" si="79"/>
        <v>99.998724188044335</v>
      </c>
    </row>
    <row r="496" spans="1:8" s="182" customFormat="1" ht="110.25" x14ac:dyDescent="0.25">
      <c r="A496" s="394" t="s">
        <v>1601</v>
      </c>
      <c r="B496" s="395" t="s">
        <v>234</v>
      </c>
      <c r="C496" s="395" t="s">
        <v>215</v>
      </c>
      <c r="D496" s="395" t="s">
        <v>1602</v>
      </c>
      <c r="E496" s="395"/>
      <c r="F496" s="388">
        <f t="shared" ref="F496:G498" si="88">F497</f>
        <v>1556.5060000000001</v>
      </c>
      <c r="G496" s="388">
        <f t="shared" si="88"/>
        <v>0</v>
      </c>
      <c r="H496" s="492">
        <f t="shared" si="79"/>
        <v>0</v>
      </c>
    </row>
    <row r="497" spans="1:8" s="121" customFormat="1" ht="94.5" x14ac:dyDescent="0.25">
      <c r="A497" s="80" t="s">
        <v>1644</v>
      </c>
      <c r="B497" s="392" t="s">
        <v>234</v>
      </c>
      <c r="C497" s="392" t="s">
        <v>215</v>
      </c>
      <c r="D497" s="392" t="s">
        <v>1603</v>
      </c>
      <c r="E497" s="392"/>
      <c r="F497" s="389">
        <f t="shared" si="88"/>
        <v>1556.5060000000001</v>
      </c>
      <c r="G497" s="389">
        <f t="shared" si="88"/>
        <v>0</v>
      </c>
      <c r="H497" s="389">
        <f t="shared" si="79"/>
        <v>0</v>
      </c>
    </row>
    <row r="498" spans="1:8" s="387" customFormat="1" ht="31.5" x14ac:dyDescent="0.25">
      <c r="A498" s="396" t="s">
        <v>131</v>
      </c>
      <c r="B498" s="392" t="s">
        <v>234</v>
      </c>
      <c r="C498" s="392" t="s">
        <v>215</v>
      </c>
      <c r="D498" s="392" t="s">
        <v>1603</v>
      </c>
      <c r="E498" s="392" t="s">
        <v>132</v>
      </c>
      <c r="F498" s="389">
        <f t="shared" si="88"/>
        <v>1556.5060000000001</v>
      </c>
      <c r="G498" s="389">
        <f t="shared" si="88"/>
        <v>0</v>
      </c>
      <c r="H498" s="389">
        <f t="shared" si="79"/>
        <v>0</v>
      </c>
    </row>
    <row r="499" spans="1:8" s="387" customFormat="1" ht="31.5" x14ac:dyDescent="0.25">
      <c r="A499" s="396" t="s">
        <v>133</v>
      </c>
      <c r="B499" s="392" t="s">
        <v>234</v>
      </c>
      <c r="C499" s="392" t="s">
        <v>215</v>
      </c>
      <c r="D499" s="392" t="s">
        <v>1603</v>
      </c>
      <c r="E499" s="392" t="s">
        <v>134</v>
      </c>
      <c r="F499" s="389">
        <f>'Пр.4 ведом.21'!G1155</f>
        <v>1556.5060000000001</v>
      </c>
      <c r="G499" s="389">
        <f>'Пр.4 ведом.21'!H1155</f>
        <v>0</v>
      </c>
      <c r="H499" s="389">
        <f t="shared" si="79"/>
        <v>0</v>
      </c>
    </row>
    <row r="500" spans="1:8" ht="31.5" x14ac:dyDescent="0.25">
      <c r="A500" s="400" t="s">
        <v>569</v>
      </c>
      <c r="B500" s="7" t="s">
        <v>234</v>
      </c>
      <c r="C500" s="7" t="s">
        <v>234</v>
      </c>
      <c r="D500" s="7"/>
      <c r="E500" s="7"/>
      <c r="F500" s="4">
        <f>F501+F516+F539</f>
        <v>49818.904799999989</v>
      </c>
      <c r="G500" s="388">
        <f>G501+G516+G539</f>
        <v>49104.581000000006</v>
      </c>
      <c r="H500" s="492">
        <f t="shared" si="79"/>
        <v>98.566159166148537</v>
      </c>
    </row>
    <row r="501" spans="1:8" ht="31.5" x14ac:dyDescent="0.25">
      <c r="A501" s="394" t="s">
        <v>916</v>
      </c>
      <c r="B501" s="24" t="s">
        <v>234</v>
      </c>
      <c r="C501" s="24" t="s">
        <v>234</v>
      </c>
      <c r="D501" s="24" t="s">
        <v>857</v>
      </c>
      <c r="E501" s="24"/>
      <c r="F501" s="4">
        <f>F502</f>
        <v>15526.148799999999</v>
      </c>
      <c r="G501" s="388">
        <f>G502</f>
        <v>15256.776999999998</v>
      </c>
      <c r="H501" s="492">
        <f t="shared" si="79"/>
        <v>98.265044323161447</v>
      </c>
    </row>
    <row r="502" spans="1:8" ht="15.75" x14ac:dyDescent="0.25">
      <c r="A502" s="394" t="s">
        <v>917</v>
      </c>
      <c r="B502" s="24" t="s">
        <v>234</v>
      </c>
      <c r="C502" s="24" t="s">
        <v>234</v>
      </c>
      <c r="D502" s="24" t="s">
        <v>858</v>
      </c>
      <c r="E502" s="24"/>
      <c r="F502" s="4">
        <f>F503+F510+F513</f>
        <v>15526.148799999999</v>
      </c>
      <c r="G502" s="388">
        <f>G503+G510+G513</f>
        <v>15256.776999999998</v>
      </c>
      <c r="H502" s="492">
        <f t="shared" si="79"/>
        <v>98.265044323161447</v>
      </c>
    </row>
    <row r="503" spans="1:8" ht="31.5" x14ac:dyDescent="0.25">
      <c r="A503" s="396" t="s">
        <v>896</v>
      </c>
      <c r="B503" s="20" t="s">
        <v>234</v>
      </c>
      <c r="C503" s="20" t="s">
        <v>234</v>
      </c>
      <c r="D503" s="20" t="s">
        <v>859</v>
      </c>
      <c r="E503" s="20"/>
      <c r="F503" s="6">
        <f>F504+F506+F508</f>
        <v>14774.999999999998</v>
      </c>
      <c r="G503" s="389">
        <f t="shared" ref="G503" si="89">G504+G506+G508</f>
        <v>14517.928999999998</v>
      </c>
      <c r="H503" s="389">
        <f t="shared" si="79"/>
        <v>98.260094754653124</v>
      </c>
    </row>
    <row r="504" spans="1:8" ht="81.75" customHeight="1" x14ac:dyDescent="0.25">
      <c r="A504" s="396" t="s">
        <v>127</v>
      </c>
      <c r="B504" s="20" t="s">
        <v>234</v>
      </c>
      <c r="C504" s="20" t="s">
        <v>234</v>
      </c>
      <c r="D504" s="20" t="s">
        <v>859</v>
      </c>
      <c r="E504" s="20" t="s">
        <v>128</v>
      </c>
      <c r="F504" s="331">
        <f t="shared" ref="F504:G504" si="90">F505</f>
        <v>14713.699999999999</v>
      </c>
      <c r="G504" s="331">
        <f t="shared" si="90"/>
        <v>14458.102999999999</v>
      </c>
      <c r="H504" s="389">
        <f t="shared" si="79"/>
        <v>98.262863861571191</v>
      </c>
    </row>
    <row r="505" spans="1:8" ht="31.5" x14ac:dyDescent="0.25">
      <c r="A505" s="396" t="s">
        <v>129</v>
      </c>
      <c r="B505" s="20" t="s">
        <v>234</v>
      </c>
      <c r="C505" s="20" t="s">
        <v>234</v>
      </c>
      <c r="D505" s="20" t="s">
        <v>859</v>
      </c>
      <c r="E505" s="20" t="s">
        <v>130</v>
      </c>
      <c r="F505" s="331">
        <f>'Пр.4 ведом.21'!G1161</f>
        <v>14713.699999999999</v>
      </c>
      <c r="G505" s="331">
        <f>'Пр.4 ведом.21'!H1161</f>
        <v>14458.102999999999</v>
      </c>
      <c r="H505" s="389">
        <f t="shared" si="79"/>
        <v>98.262863861571191</v>
      </c>
    </row>
    <row r="506" spans="1:8" ht="31.5" x14ac:dyDescent="0.25">
      <c r="A506" s="396" t="s">
        <v>131</v>
      </c>
      <c r="B506" s="20" t="s">
        <v>234</v>
      </c>
      <c r="C506" s="20" t="s">
        <v>234</v>
      </c>
      <c r="D506" s="20" t="s">
        <v>859</v>
      </c>
      <c r="E506" s="20" t="s">
        <v>132</v>
      </c>
      <c r="F506" s="331">
        <f t="shared" ref="F506:G506" si="91">F507</f>
        <v>23</v>
      </c>
      <c r="G506" s="331">
        <f t="shared" si="91"/>
        <v>22.98</v>
      </c>
      <c r="H506" s="389">
        <f t="shared" si="79"/>
        <v>99.913043478260875</v>
      </c>
    </row>
    <row r="507" spans="1:8" ht="31.5" x14ac:dyDescent="0.25">
      <c r="A507" s="396" t="s">
        <v>133</v>
      </c>
      <c r="B507" s="20" t="s">
        <v>234</v>
      </c>
      <c r="C507" s="20" t="s">
        <v>234</v>
      </c>
      <c r="D507" s="20" t="s">
        <v>859</v>
      </c>
      <c r="E507" s="20" t="s">
        <v>134</v>
      </c>
      <c r="F507" s="331">
        <f>'Пр.4 ведом.21'!G1163</f>
        <v>23</v>
      </c>
      <c r="G507" s="331">
        <f>'Пр.4 ведом.21'!H1163</f>
        <v>22.98</v>
      </c>
      <c r="H507" s="389">
        <f t="shared" si="79"/>
        <v>99.913043478260875</v>
      </c>
    </row>
    <row r="508" spans="1:8" ht="15.75" x14ac:dyDescent="0.25">
      <c r="A508" s="396" t="s">
        <v>135</v>
      </c>
      <c r="B508" s="20" t="s">
        <v>234</v>
      </c>
      <c r="C508" s="20" t="s">
        <v>234</v>
      </c>
      <c r="D508" s="20" t="s">
        <v>859</v>
      </c>
      <c r="E508" s="20" t="s">
        <v>145</v>
      </c>
      <c r="F508" s="331">
        <f t="shared" ref="F508:G508" si="92">F509</f>
        <v>38.299999999999997</v>
      </c>
      <c r="G508" s="331">
        <f t="shared" si="92"/>
        <v>36.845999999999997</v>
      </c>
      <c r="H508" s="389">
        <f t="shared" si="79"/>
        <v>96.203655352480411</v>
      </c>
    </row>
    <row r="509" spans="1:8" ht="15.75" x14ac:dyDescent="0.25">
      <c r="A509" s="396" t="s">
        <v>568</v>
      </c>
      <c r="B509" s="20" t="s">
        <v>234</v>
      </c>
      <c r="C509" s="20" t="s">
        <v>234</v>
      </c>
      <c r="D509" s="20" t="s">
        <v>859</v>
      </c>
      <c r="E509" s="20" t="s">
        <v>138</v>
      </c>
      <c r="F509" s="331">
        <f>'Пр.4 ведом.21'!G1165</f>
        <v>38.299999999999997</v>
      </c>
      <c r="G509" s="331">
        <f>'Пр.4 ведом.21'!H1165</f>
        <v>36.845999999999997</v>
      </c>
      <c r="H509" s="389">
        <f t="shared" si="79"/>
        <v>96.203655352480411</v>
      </c>
    </row>
    <row r="510" spans="1:8" s="191" customFormat="1" ht="47.25" x14ac:dyDescent="0.25">
      <c r="A510" s="396" t="s">
        <v>838</v>
      </c>
      <c r="B510" s="20" t="s">
        <v>234</v>
      </c>
      <c r="C510" s="20" t="s">
        <v>234</v>
      </c>
      <c r="D510" s="20" t="s">
        <v>861</v>
      </c>
      <c r="E510" s="20"/>
      <c r="F510" s="331">
        <f>F511</f>
        <v>399.2</v>
      </c>
      <c r="G510" s="331">
        <f>G511</f>
        <v>386.9</v>
      </c>
      <c r="H510" s="389">
        <f t="shared" si="79"/>
        <v>96.918837675350701</v>
      </c>
    </row>
    <row r="511" spans="1:8" s="191" customFormat="1" ht="78.75" x14ac:dyDescent="0.25">
      <c r="A511" s="396" t="s">
        <v>127</v>
      </c>
      <c r="B511" s="20" t="s">
        <v>234</v>
      </c>
      <c r="C511" s="20" t="s">
        <v>234</v>
      </c>
      <c r="D511" s="20" t="s">
        <v>861</v>
      </c>
      <c r="E511" s="20" t="s">
        <v>128</v>
      </c>
      <c r="F511" s="331">
        <f>F512</f>
        <v>399.2</v>
      </c>
      <c r="G511" s="331">
        <f>G512</f>
        <v>386.9</v>
      </c>
      <c r="H511" s="389">
        <f t="shared" si="79"/>
        <v>96.918837675350701</v>
      </c>
    </row>
    <row r="512" spans="1:8" s="191" customFormat="1" ht="31.5" x14ac:dyDescent="0.25">
      <c r="A512" s="396" t="s">
        <v>129</v>
      </c>
      <c r="B512" s="20" t="s">
        <v>234</v>
      </c>
      <c r="C512" s="20" t="s">
        <v>234</v>
      </c>
      <c r="D512" s="20" t="s">
        <v>861</v>
      </c>
      <c r="E512" s="20" t="s">
        <v>130</v>
      </c>
      <c r="F512" s="331">
        <f>'Пр.4 ведом.21'!G1168</f>
        <v>399.2</v>
      </c>
      <c r="G512" s="331">
        <f>'Пр.4 ведом.21'!H1168</f>
        <v>386.9</v>
      </c>
      <c r="H512" s="389">
        <f t="shared" si="79"/>
        <v>96.918837675350701</v>
      </c>
    </row>
    <row r="513" spans="1:8" s="387" customFormat="1" ht="31.5" x14ac:dyDescent="0.25">
      <c r="A513" s="396" t="s">
        <v>1677</v>
      </c>
      <c r="B513" s="392" t="s">
        <v>234</v>
      </c>
      <c r="C513" s="392" t="s">
        <v>234</v>
      </c>
      <c r="D513" s="392" t="s">
        <v>1678</v>
      </c>
      <c r="E513" s="392"/>
      <c r="F513" s="331">
        <f>F514</f>
        <v>351.94880000000001</v>
      </c>
      <c r="G513" s="331">
        <f>G514</f>
        <v>351.94799999999998</v>
      </c>
      <c r="H513" s="389">
        <f t="shared" si="79"/>
        <v>99.999772694210051</v>
      </c>
    </row>
    <row r="514" spans="1:8" s="387" customFormat="1" ht="78.75" x14ac:dyDescent="0.25">
      <c r="A514" s="396" t="s">
        <v>127</v>
      </c>
      <c r="B514" s="392" t="s">
        <v>234</v>
      </c>
      <c r="C514" s="392" t="s">
        <v>234</v>
      </c>
      <c r="D514" s="392" t="s">
        <v>1678</v>
      </c>
      <c r="E514" s="392" t="s">
        <v>128</v>
      </c>
      <c r="F514" s="331">
        <f>F515</f>
        <v>351.94880000000001</v>
      </c>
      <c r="G514" s="331">
        <f>G515</f>
        <v>351.94799999999998</v>
      </c>
      <c r="H514" s="389">
        <f t="shared" si="79"/>
        <v>99.999772694210051</v>
      </c>
    </row>
    <row r="515" spans="1:8" s="387" customFormat="1" ht="31.5" x14ac:dyDescent="0.25">
      <c r="A515" s="396" t="s">
        <v>129</v>
      </c>
      <c r="B515" s="392" t="s">
        <v>234</v>
      </c>
      <c r="C515" s="392" t="s">
        <v>234</v>
      </c>
      <c r="D515" s="392" t="s">
        <v>1678</v>
      </c>
      <c r="E515" s="392" t="s">
        <v>130</v>
      </c>
      <c r="F515" s="331">
        <f>'Пр.4 ведом.21'!G1171</f>
        <v>351.94880000000001</v>
      </c>
      <c r="G515" s="331">
        <f>'Пр.4 ведом.21'!H1171</f>
        <v>351.94799999999998</v>
      </c>
      <c r="H515" s="389">
        <f t="shared" si="79"/>
        <v>99.999772694210051</v>
      </c>
    </row>
    <row r="516" spans="1:8" ht="15.75" x14ac:dyDescent="0.25">
      <c r="A516" s="394" t="s">
        <v>141</v>
      </c>
      <c r="B516" s="24" t="s">
        <v>234</v>
      </c>
      <c r="C516" s="24" t="s">
        <v>234</v>
      </c>
      <c r="D516" s="24" t="s">
        <v>865</v>
      </c>
      <c r="E516" s="24"/>
      <c r="F516" s="4">
        <f>F517+F530</f>
        <v>34292.755999999994</v>
      </c>
      <c r="G516" s="388">
        <f>G517+G530</f>
        <v>33847.804000000004</v>
      </c>
      <c r="H516" s="492">
        <f t="shared" si="79"/>
        <v>98.702489820299093</v>
      </c>
    </row>
    <row r="517" spans="1:8" ht="31.5" x14ac:dyDescent="0.25">
      <c r="A517" s="394" t="s">
        <v>869</v>
      </c>
      <c r="B517" s="24" t="s">
        <v>234</v>
      </c>
      <c r="C517" s="24" t="s">
        <v>234</v>
      </c>
      <c r="D517" s="24" t="s">
        <v>864</v>
      </c>
      <c r="E517" s="24"/>
      <c r="F517" s="333">
        <f>F518+F525</f>
        <v>21222.6</v>
      </c>
      <c r="G517" s="333">
        <f>G518+G525</f>
        <v>21090.9</v>
      </c>
      <c r="H517" s="492">
        <f t="shared" si="79"/>
        <v>99.379435130474135</v>
      </c>
    </row>
    <row r="518" spans="1:8" ht="31.5" x14ac:dyDescent="0.25">
      <c r="A518" s="396" t="s">
        <v>570</v>
      </c>
      <c r="B518" s="20" t="s">
        <v>234</v>
      </c>
      <c r="C518" s="20" t="s">
        <v>234</v>
      </c>
      <c r="D518" s="20" t="s">
        <v>983</v>
      </c>
      <c r="E518" s="20"/>
      <c r="F518" s="331">
        <f>F521+F519</f>
        <v>10122.599999999999</v>
      </c>
      <c r="G518" s="331">
        <f>G521+G519</f>
        <v>9990.9</v>
      </c>
      <c r="H518" s="389">
        <f t="shared" si="79"/>
        <v>98.698950862426656</v>
      </c>
    </row>
    <row r="519" spans="1:8" s="191" customFormat="1" ht="19.5" hidden="1" customHeight="1" x14ac:dyDescent="0.25">
      <c r="A519" s="31" t="s">
        <v>248</v>
      </c>
      <c r="B519" s="20" t="s">
        <v>234</v>
      </c>
      <c r="C519" s="20" t="s">
        <v>234</v>
      </c>
      <c r="D519" s="20" t="s">
        <v>983</v>
      </c>
      <c r="E519" s="20" t="s">
        <v>249</v>
      </c>
      <c r="F519" s="331">
        <f>F520</f>
        <v>0</v>
      </c>
      <c r="G519" s="331">
        <f>G520</f>
        <v>0</v>
      </c>
      <c r="H519" s="389" t="e">
        <f t="shared" si="79"/>
        <v>#DIV/0!</v>
      </c>
    </row>
    <row r="520" spans="1:8" s="191" customFormat="1" ht="15.75" hidden="1" x14ac:dyDescent="0.25">
      <c r="A520" s="396" t="s">
        <v>1517</v>
      </c>
      <c r="B520" s="20" t="s">
        <v>234</v>
      </c>
      <c r="C520" s="20" t="s">
        <v>234</v>
      </c>
      <c r="D520" s="20" t="s">
        <v>983</v>
      </c>
      <c r="E520" s="20" t="s">
        <v>1519</v>
      </c>
      <c r="F520" s="331">
        <f>'Пр.4 ведом.21'!G1176</f>
        <v>0</v>
      </c>
      <c r="G520" s="331">
        <f>'Пр.4 ведом.21'!H1176</f>
        <v>0</v>
      </c>
      <c r="H520" s="389" t="e">
        <f t="shared" si="79"/>
        <v>#DIV/0!</v>
      </c>
    </row>
    <row r="521" spans="1:8" ht="15.75" x14ac:dyDescent="0.25">
      <c r="A521" s="396" t="s">
        <v>135</v>
      </c>
      <c r="B521" s="20" t="s">
        <v>234</v>
      </c>
      <c r="C521" s="20" t="s">
        <v>234</v>
      </c>
      <c r="D521" s="20" t="s">
        <v>983</v>
      </c>
      <c r="E521" s="20" t="s">
        <v>145</v>
      </c>
      <c r="F521" s="331">
        <f>F522+F523+F524</f>
        <v>10122.599999999999</v>
      </c>
      <c r="G521" s="331">
        <f>G522+G523+G524</f>
        <v>9990.9</v>
      </c>
      <c r="H521" s="389">
        <f t="shared" ref="H521:H584" si="93">G521/F521*100</f>
        <v>98.698950862426656</v>
      </c>
    </row>
    <row r="522" spans="1:8" ht="47.25" x14ac:dyDescent="0.25">
      <c r="A522" s="396" t="s">
        <v>184</v>
      </c>
      <c r="B522" s="20" t="s">
        <v>234</v>
      </c>
      <c r="C522" s="20" t="s">
        <v>234</v>
      </c>
      <c r="D522" s="20" t="s">
        <v>983</v>
      </c>
      <c r="E522" s="20" t="s">
        <v>160</v>
      </c>
      <c r="F522" s="6">
        <f>'Пр.4 ведом.21'!G1178</f>
        <v>982</v>
      </c>
      <c r="G522" s="389">
        <f>'Пр.4 ведом.21'!H1178</f>
        <v>980.14099999999996</v>
      </c>
      <c r="H522" s="389">
        <f t="shared" si="93"/>
        <v>99.810692464358453</v>
      </c>
    </row>
    <row r="523" spans="1:8" s="387" customFormat="1" ht="15.75" x14ac:dyDescent="0.25">
      <c r="A523" s="396" t="s">
        <v>704</v>
      </c>
      <c r="B523" s="392" t="s">
        <v>234</v>
      </c>
      <c r="C523" s="392" t="s">
        <v>234</v>
      </c>
      <c r="D523" s="392" t="s">
        <v>983</v>
      </c>
      <c r="E523" s="392" t="s">
        <v>138</v>
      </c>
      <c r="F523" s="389">
        <f>'Пр.4 ведом.21'!G1179</f>
        <v>9140.5999999999985</v>
      </c>
      <c r="G523" s="389">
        <f>'Пр.4 ведом.21'!H1179</f>
        <v>9010.759</v>
      </c>
      <c r="H523" s="389">
        <f t="shared" si="93"/>
        <v>98.579513379865674</v>
      </c>
    </row>
    <row r="524" spans="1:8" s="387" customFormat="1" ht="15.75" hidden="1" x14ac:dyDescent="0.25">
      <c r="A524" s="396" t="s">
        <v>1576</v>
      </c>
      <c r="B524" s="392" t="s">
        <v>234</v>
      </c>
      <c r="C524" s="392" t="s">
        <v>234</v>
      </c>
      <c r="D524" s="392" t="s">
        <v>983</v>
      </c>
      <c r="E524" s="392" t="s">
        <v>1577</v>
      </c>
      <c r="F524" s="389">
        <f>'Пр.4 ведом.21'!G1180</f>
        <v>0</v>
      </c>
      <c r="G524" s="389">
        <f>'Пр.4 ведом.21'!H1180</f>
        <v>0</v>
      </c>
      <c r="H524" s="389" t="e">
        <f t="shared" si="93"/>
        <v>#DIV/0!</v>
      </c>
    </row>
    <row r="525" spans="1:8" ht="31.5" x14ac:dyDescent="0.25">
      <c r="A525" s="396" t="s">
        <v>1591</v>
      </c>
      <c r="B525" s="20" t="s">
        <v>234</v>
      </c>
      <c r="C525" s="20" t="s">
        <v>234</v>
      </c>
      <c r="D525" s="20" t="s">
        <v>1592</v>
      </c>
      <c r="E525" s="20"/>
      <c r="F525" s="331">
        <f>F526+F528</f>
        <v>11100</v>
      </c>
      <c r="G525" s="331">
        <f>G526+G528</f>
        <v>11100</v>
      </c>
      <c r="H525" s="389">
        <f t="shared" si="93"/>
        <v>100</v>
      </c>
    </row>
    <row r="526" spans="1:8" ht="15.75" x14ac:dyDescent="0.25">
      <c r="A526" s="396" t="s">
        <v>1593</v>
      </c>
      <c r="B526" s="20" t="s">
        <v>234</v>
      </c>
      <c r="C526" s="20" t="s">
        <v>234</v>
      </c>
      <c r="D526" s="20" t="s">
        <v>1592</v>
      </c>
      <c r="E526" s="20" t="s">
        <v>836</v>
      </c>
      <c r="F526" s="331">
        <f>F527</f>
        <v>100</v>
      </c>
      <c r="G526" s="331">
        <f>G527</f>
        <v>100</v>
      </c>
      <c r="H526" s="389">
        <f t="shared" si="93"/>
        <v>100</v>
      </c>
    </row>
    <row r="527" spans="1:8" ht="31.5" x14ac:dyDescent="0.25">
      <c r="A527" s="396" t="s">
        <v>837</v>
      </c>
      <c r="B527" s="20" t="s">
        <v>234</v>
      </c>
      <c r="C527" s="20" t="s">
        <v>234</v>
      </c>
      <c r="D527" s="20" t="s">
        <v>1592</v>
      </c>
      <c r="E527" s="20" t="s">
        <v>1594</v>
      </c>
      <c r="F527" s="331">
        <f>'Пр.4 ведом.21'!G1185</f>
        <v>100</v>
      </c>
      <c r="G527" s="331">
        <f>'Пр.4 ведом.21'!H1185</f>
        <v>100</v>
      </c>
      <c r="H527" s="389">
        <f t="shared" si="93"/>
        <v>100</v>
      </c>
    </row>
    <row r="528" spans="1:8" s="387" customFormat="1" ht="15.75" x14ac:dyDescent="0.25">
      <c r="A528" s="396" t="s">
        <v>135</v>
      </c>
      <c r="B528" s="392" t="s">
        <v>234</v>
      </c>
      <c r="C528" s="392" t="s">
        <v>234</v>
      </c>
      <c r="D528" s="392" t="s">
        <v>1592</v>
      </c>
      <c r="E528" s="392" t="s">
        <v>145</v>
      </c>
      <c r="F528" s="331">
        <f>F529</f>
        <v>11000</v>
      </c>
      <c r="G528" s="331">
        <f>G529</f>
        <v>11000</v>
      </c>
      <c r="H528" s="389">
        <f t="shared" si="93"/>
        <v>100</v>
      </c>
    </row>
    <row r="529" spans="1:8" s="387" customFormat="1" ht="47.25" x14ac:dyDescent="0.25">
      <c r="A529" s="396" t="s">
        <v>184</v>
      </c>
      <c r="B529" s="392" t="s">
        <v>234</v>
      </c>
      <c r="C529" s="392" t="s">
        <v>234</v>
      </c>
      <c r="D529" s="392" t="s">
        <v>1592</v>
      </c>
      <c r="E529" s="392" t="s">
        <v>160</v>
      </c>
      <c r="F529" s="331">
        <f>'Пр.4 ведом.21'!G1187</f>
        <v>11000</v>
      </c>
      <c r="G529" s="331">
        <f>'Пр.4 ведом.21'!H1187</f>
        <v>11000</v>
      </c>
      <c r="H529" s="389">
        <f t="shared" si="93"/>
        <v>100</v>
      </c>
    </row>
    <row r="530" spans="1:8" ht="31.5" x14ac:dyDescent="0.25">
      <c r="A530" s="394" t="s">
        <v>928</v>
      </c>
      <c r="B530" s="24" t="s">
        <v>234</v>
      </c>
      <c r="C530" s="24" t="s">
        <v>234</v>
      </c>
      <c r="D530" s="24" t="s">
        <v>913</v>
      </c>
      <c r="E530" s="24"/>
      <c r="F530" s="333">
        <f>F531+F536+F544</f>
        <v>13070.155999999999</v>
      </c>
      <c r="G530" s="333">
        <f>G531+G536+G544</f>
        <v>12756.904</v>
      </c>
      <c r="H530" s="492">
        <f t="shared" si="93"/>
        <v>97.603303281154425</v>
      </c>
    </row>
    <row r="531" spans="1:8" ht="31.5" x14ac:dyDescent="0.25">
      <c r="A531" s="396" t="s">
        <v>902</v>
      </c>
      <c r="B531" s="20" t="s">
        <v>234</v>
      </c>
      <c r="C531" s="20" t="s">
        <v>234</v>
      </c>
      <c r="D531" s="20" t="s">
        <v>914</v>
      </c>
      <c r="E531" s="20"/>
      <c r="F531" s="331">
        <f>F532+F534</f>
        <v>12487.099999999999</v>
      </c>
      <c r="G531" s="331">
        <f>G532+G534</f>
        <v>12176.096</v>
      </c>
      <c r="H531" s="389">
        <f t="shared" si="93"/>
        <v>97.509397698424777</v>
      </c>
    </row>
    <row r="532" spans="1:8" ht="78.75" x14ac:dyDescent="0.25">
      <c r="A532" s="396" t="s">
        <v>127</v>
      </c>
      <c r="B532" s="20" t="s">
        <v>234</v>
      </c>
      <c r="C532" s="20" t="s">
        <v>234</v>
      </c>
      <c r="D532" s="20" t="s">
        <v>914</v>
      </c>
      <c r="E532" s="20" t="s">
        <v>128</v>
      </c>
      <c r="F532" s="331">
        <f>F533</f>
        <v>10079.799999999999</v>
      </c>
      <c r="G532" s="331">
        <f>G533</f>
        <v>9873.0769999999993</v>
      </c>
      <c r="H532" s="389">
        <f t="shared" si="93"/>
        <v>97.949135895553482</v>
      </c>
    </row>
    <row r="533" spans="1:8" ht="21.75" customHeight="1" x14ac:dyDescent="0.25">
      <c r="A533" s="396" t="s">
        <v>342</v>
      </c>
      <c r="B533" s="20" t="s">
        <v>234</v>
      </c>
      <c r="C533" s="20" t="s">
        <v>234</v>
      </c>
      <c r="D533" s="20" t="s">
        <v>914</v>
      </c>
      <c r="E533" s="20" t="s">
        <v>209</v>
      </c>
      <c r="F533" s="331">
        <f>'Пр.4 ведом.21'!G1191</f>
        <v>10079.799999999999</v>
      </c>
      <c r="G533" s="331">
        <f>'Пр.4 ведом.21'!H1191</f>
        <v>9873.0769999999993</v>
      </c>
      <c r="H533" s="389">
        <f t="shared" si="93"/>
        <v>97.949135895553482</v>
      </c>
    </row>
    <row r="534" spans="1:8" s="191" customFormat="1" ht="31.5" x14ac:dyDescent="0.25">
      <c r="A534" s="396" t="s">
        <v>131</v>
      </c>
      <c r="B534" s="20" t="s">
        <v>234</v>
      </c>
      <c r="C534" s="20" t="s">
        <v>234</v>
      </c>
      <c r="D534" s="20" t="s">
        <v>914</v>
      </c>
      <c r="E534" s="20" t="s">
        <v>132</v>
      </c>
      <c r="F534" s="331">
        <f>F535</f>
        <v>2407.3000000000002</v>
      </c>
      <c r="G534" s="331">
        <f>G535</f>
        <v>2303.0189999999998</v>
      </c>
      <c r="H534" s="389">
        <f t="shared" si="93"/>
        <v>95.668134424458913</v>
      </c>
    </row>
    <row r="535" spans="1:8" s="191" customFormat="1" ht="31.5" x14ac:dyDescent="0.25">
      <c r="A535" s="396" t="s">
        <v>133</v>
      </c>
      <c r="B535" s="20" t="s">
        <v>234</v>
      </c>
      <c r="C535" s="20" t="s">
        <v>234</v>
      </c>
      <c r="D535" s="20" t="s">
        <v>914</v>
      </c>
      <c r="E535" s="20" t="s">
        <v>134</v>
      </c>
      <c r="F535" s="331">
        <f>'Пр.4 ведом.21'!G1193</f>
        <v>2407.3000000000002</v>
      </c>
      <c r="G535" s="331">
        <f>'Пр.4 ведом.21'!H1193</f>
        <v>2303.0189999999998</v>
      </c>
      <c r="H535" s="389">
        <f t="shared" si="93"/>
        <v>95.668134424458913</v>
      </c>
    </row>
    <row r="536" spans="1:8" s="191" customFormat="1" ht="47.25" x14ac:dyDescent="0.25">
      <c r="A536" s="396" t="s">
        <v>838</v>
      </c>
      <c r="B536" s="20" t="s">
        <v>234</v>
      </c>
      <c r="C536" s="20" t="s">
        <v>234</v>
      </c>
      <c r="D536" s="20" t="s">
        <v>915</v>
      </c>
      <c r="E536" s="20"/>
      <c r="F536" s="331">
        <f>F537</f>
        <v>350</v>
      </c>
      <c r="G536" s="331">
        <f>G537</f>
        <v>347.75200000000001</v>
      </c>
      <c r="H536" s="389">
        <f t="shared" si="93"/>
        <v>99.357714285714295</v>
      </c>
    </row>
    <row r="537" spans="1:8" s="191" customFormat="1" ht="78.75" x14ac:dyDescent="0.25">
      <c r="A537" s="396" t="s">
        <v>127</v>
      </c>
      <c r="B537" s="20" t="s">
        <v>234</v>
      </c>
      <c r="C537" s="20" t="s">
        <v>234</v>
      </c>
      <c r="D537" s="20" t="s">
        <v>915</v>
      </c>
      <c r="E537" s="20" t="s">
        <v>128</v>
      </c>
      <c r="F537" s="331">
        <f>F538</f>
        <v>350</v>
      </c>
      <c r="G537" s="331">
        <f>G538</f>
        <v>347.75200000000001</v>
      </c>
      <c r="H537" s="389">
        <f t="shared" si="93"/>
        <v>99.357714285714295</v>
      </c>
    </row>
    <row r="538" spans="1:8" s="191" customFormat="1" ht="31.5" x14ac:dyDescent="0.25">
      <c r="A538" s="396" t="s">
        <v>129</v>
      </c>
      <c r="B538" s="20" t="s">
        <v>234</v>
      </c>
      <c r="C538" s="20" t="s">
        <v>234</v>
      </c>
      <c r="D538" s="20" t="s">
        <v>915</v>
      </c>
      <c r="E538" s="20" t="s">
        <v>130</v>
      </c>
      <c r="F538" s="331">
        <f>'Пр.4 ведом.21'!G1196</f>
        <v>350</v>
      </c>
      <c r="G538" s="331">
        <f>'Пр.4 ведом.21'!H1196</f>
        <v>347.75200000000001</v>
      </c>
      <c r="H538" s="389">
        <f t="shared" si="93"/>
        <v>99.357714285714295</v>
      </c>
    </row>
    <row r="539" spans="1:8" s="191" customFormat="1" ht="47.25" hidden="1" x14ac:dyDescent="0.25">
      <c r="A539" s="34" t="s">
        <v>1375</v>
      </c>
      <c r="B539" s="24" t="s">
        <v>234</v>
      </c>
      <c r="C539" s="24" t="s">
        <v>234</v>
      </c>
      <c r="D539" s="24" t="s">
        <v>324</v>
      </c>
      <c r="E539" s="24"/>
      <c r="F539" s="21">
        <f t="shared" ref="F539:G542" si="94">F540</f>
        <v>0</v>
      </c>
      <c r="G539" s="393">
        <f t="shared" si="94"/>
        <v>0</v>
      </c>
      <c r="H539" s="389" t="e">
        <f t="shared" si="93"/>
        <v>#DIV/0!</v>
      </c>
    </row>
    <row r="540" spans="1:8" s="191" customFormat="1" ht="63" hidden="1" x14ac:dyDescent="0.25">
      <c r="A540" s="34" t="s">
        <v>1008</v>
      </c>
      <c r="B540" s="24" t="s">
        <v>234</v>
      </c>
      <c r="C540" s="24" t="s">
        <v>234</v>
      </c>
      <c r="D540" s="24" t="s">
        <v>933</v>
      </c>
      <c r="E540" s="24"/>
      <c r="F540" s="21">
        <f t="shared" si="94"/>
        <v>0</v>
      </c>
      <c r="G540" s="393">
        <f t="shared" si="94"/>
        <v>0</v>
      </c>
      <c r="H540" s="389" t="e">
        <f t="shared" si="93"/>
        <v>#DIV/0!</v>
      </c>
    </row>
    <row r="541" spans="1:8" s="191" customFormat="1" ht="47.25" hidden="1" x14ac:dyDescent="0.25">
      <c r="A541" s="31" t="s">
        <v>1081</v>
      </c>
      <c r="B541" s="20" t="s">
        <v>234</v>
      </c>
      <c r="C541" s="20" t="s">
        <v>234</v>
      </c>
      <c r="D541" s="20" t="s">
        <v>1025</v>
      </c>
      <c r="E541" s="20"/>
      <c r="F541" s="26">
        <f t="shared" si="94"/>
        <v>0</v>
      </c>
      <c r="G541" s="397">
        <f t="shared" si="94"/>
        <v>0</v>
      </c>
      <c r="H541" s="389" t="e">
        <f t="shared" si="93"/>
        <v>#DIV/0!</v>
      </c>
    </row>
    <row r="542" spans="1:8" s="191" customFormat="1" ht="31.5" hidden="1" x14ac:dyDescent="0.25">
      <c r="A542" s="396" t="s">
        <v>131</v>
      </c>
      <c r="B542" s="20" t="s">
        <v>234</v>
      </c>
      <c r="C542" s="20" t="s">
        <v>234</v>
      </c>
      <c r="D542" s="20" t="s">
        <v>1025</v>
      </c>
      <c r="E542" s="20" t="s">
        <v>132</v>
      </c>
      <c r="F542" s="26">
        <f t="shared" si="94"/>
        <v>0</v>
      </c>
      <c r="G542" s="397">
        <f t="shared" si="94"/>
        <v>0</v>
      </c>
      <c r="H542" s="389" t="e">
        <f t="shared" si="93"/>
        <v>#DIV/0!</v>
      </c>
    </row>
    <row r="543" spans="1:8" s="191" customFormat="1" ht="31.5" hidden="1" x14ac:dyDescent="0.25">
      <c r="A543" s="396" t="s">
        <v>133</v>
      </c>
      <c r="B543" s="20" t="s">
        <v>234</v>
      </c>
      <c r="C543" s="20" t="s">
        <v>234</v>
      </c>
      <c r="D543" s="20" t="s">
        <v>1025</v>
      </c>
      <c r="E543" s="20" t="s">
        <v>134</v>
      </c>
      <c r="F543" s="26">
        <f>'Пр.4 ведом.21'!G1201</f>
        <v>0</v>
      </c>
      <c r="G543" s="397">
        <f>'Пр.4 ведом.21'!H1201</f>
        <v>0</v>
      </c>
      <c r="H543" s="389" t="e">
        <f t="shared" si="93"/>
        <v>#DIV/0!</v>
      </c>
    </row>
    <row r="544" spans="1:8" s="387" customFormat="1" ht="31.5" x14ac:dyDescent="0.25">
      <c r="A544" s="396" t="s">
        <v>1677</v>
      </c>
      <c r="B544" s="392" t="s">
        <v>234</v>
      </c>
      <c r="C544" s="392" t="s">
        <v>234</v>
      </c>
      <c r="D544" s="392" t="s">
        <v>1681</v>
      </c>
      <c r="E544" s="392"/>
      <c r="F544" s="397">
        <f>F545</f>
        <v>233.05600000000001</v>
      </c>
      <c r="G544" s="397">
        <f>G545</f>
        <v>233.05600000000001</v>
      </c>
      <c r="H544" s="389">
        <f t="shared" si="93"/>
        <v>100</v>
      </c>
    </row>
    <row r="545" spans="1:8" s="387" customFormat="1" ht="78.75" x14ac:dyDescent="0.25">
      <c r="A545" s="396" t="s">
        <v>127</v>
      </c>
      <c r="B545" s="392" t="s">
        <v>234</v>
      </c>
      <c r="C545" s="392" t="s">
        <v>234</v>
      </c>
      <c r="D545" s="392" t="s">
        <v>1681</v>
      </c>
      <c r="E545" s="392" t="s">
        <v>128</v>
      </c>
      <c r="F545" s="397">
        <f>F546</f>
        <v>233.05600000000001</v>
      </c>
      <c r="G545" s="397">
        <f>G546</f>
        <v>233.05600000000001</v>
      </c>
      <c r="H545" s="389">
        <f t="shared" si="93"/>
        <v>100</v>
      </c>
    </row>
    <row r="546" spans="1:8" s="387" customFormat="1" ht="31.5" x14ac:dyDescent="0.25">
      <c r="A546" s="396" t="s">
        <v>342</v>
      </c>
      <c r="B546" s="392" t="s">
        <v>234</v>
      </c>
      <c r="C546" s="392" t="s">
        <v>234</v>
      </c>
      <c r="D546" s="392" t="s">
        <v>1681</v>
      </c>
      <c r="E546" s="392" t="s">
        <v>209</v>
      </c>
      <c r="F546" s="397">
        <f>'Пр.4 ведом.21'!G1204</f>
        <v>233.05600000000001</v>
      </c>
      <c r="G546" s="397">
        <f>'Пр.4 ведом.21'!H1204</f>
        <v>233.05600000000001</v>
      </c>
      <c r="H546" s="389">
        <f t="shared" si="93"/>
        <v>100</v>
      </c>
    </row>
    <row r="547" spans="1:8" ht="15.75" x14ac:dyDescent="0.25">
      <c r="A547" s="400" t="s">
        <v>263</v>
      </c>
      <c r="B547" s="7" t="s">
        <v>264</v>
      </c>
      <c r="C547" s="40"/>
      <c r="D547" s="40"/>
      <c r="E547" s="40"/>
      <c r="F547" s="4">
        <f>F548+F613+F817+F704+F789</f>
        <v>398874.81100000005</v>
      </c>
      <c r="G547" s="388">
        <f>G548+G613+G817+G704+G789</f>
        <v>388852.90899999999</v>
      </c>
      <c r="H547" s="492">
        <f t="shared" si="93"/>
        <v>97.487456785031213</v>
      </c>
    </row>
    <row r="548" spans="1:8" ht="15.75" x14ac:dyDescent="0.25">
      <c r="A548" s="400" t="s">
        <v>404</v>
      </c>
      <c r="B548" s="7" t="s">
        <v>264</v>
      </c>
      <c r="C548" s="7" t="s">
        <v>118</v>
      </c>
      <c r="D548" s="7"/>
      <c r="E548" s="7"/>
      <c r="F548" s="4">
        <f>F549+F603+F608</f>
        <v>112462.06999999999</v>
      </c>
      <c r="G548" s="388">
        <f>G549+G603+G608</f>
        <v>110437.219</v>
      </c>
      <c r="H548" s="492">
        <f t="shared" si="93"/>
        <v>98.199525404431924</v>
      </c>
    </row>
    <row r="549" spans="1:8" ht="40.700000000000003" customHeight="1" x14ac:dyDescent="0.25">
      <c r="A549" s="394" t="s">
        <v>1376</v>
      </c>
      <c r="B549" s="24" t="s">
        <v>264</v>
      </c>
      <c r="C549" s="24" t="s">
        <v>118</v>
      </c>
      <c r="D549" s="24" t="s">
        <v>406</v>
      </c>
      <c r="E549" s="24"/>
      <c r="F549" s="4">
        <f>F550+F554+F567+F577+F587+F591+F595+F599</f>
        <v>111766.87</v>
      </c>
      <c r="G549" s="388">
        <f>G550+G554+G567+G577+G587+G591+G595+G599</f>
        <v>109752.368</v>
      </c>
      <c r="H549" s="492">
        <f t="shared" si="93"/>
        <v>98.197585742537129</v>
      </c>
    </row>
    <row r="550" spans="1:8" s="191" customFormat="1" ht="31.5" x14ac:dyDescent="0.25">
      <c r="A550" s="394" t="s">
        <v>936</v>
      </c>
      <c r="B550" s="24" t="s">
        <v>264</v>
      </c>
      <c r="C550" s="24" t="s">
        <v>118</v>
      </c>
      <c r="D550" s="24" t="s">
        <v>1228</v>
      </c>
      <c r="E550" s="24"/>
      <c r="F550" s="4">
        <f t="shared" ref="F550:G552" si="95">F551</f>
        <v>14804.1</v>
      </c>
      <c r="G550" s="388">
        <f t="shared" si="95"/>
        <v>14800.699000000001</v>
      </c>
      <c r="H550" s="492">
        <f t="shared" si="93"/>
        <v>99.977026634513408</v>
      </c>
    </row>
    <row r="551" spans="1:8" ht="42.75" customHeight="1" x14ac:dyDescent="0.25">
      <c r="A551" s="396" t="s">
        <v>1227</v>
      </c>
      <c r="B551" s="20" t="s">
        <v>264</v>
      </c>
      <c r="C551" s="20" t="s">
        <v>118</v>
      </c>
      <c r="D551" s="20" t="s">
        <v>1229</v>
      </c>
      <c r="E551" s="20"/>
      <c r="F551" s="6">
        <f t="shared" si="95"/>
        <v>14804.1</v>
      </c>
      <c r="G551" s="389">
        <f t="shared" si="95"/>
        <v>14800.699000000001</v>
      </c>
      <c r="H551" s="389">
        <f t="shared" si="93"/>
        <v>99.977026634513408</v>
      </c>
    </row>
    <row r="552" spans="1:8" ht="40.700000000000003" customHeight="1" x14ac:dyDescent="0.25">
      <c r="A552" s="396" t="s">
        <v>272</v>
      </c>
      <c r="B552" s="20" t="s">
        <v>264</v>
      </c>
      <c r="C552" s="20" t="s">
        <v>118</v>
      </c>
      <c r="D552" s="20" t="s">
        <v>1229</v>
      </c>
      <c r="E552" s="20" t="s">
        <v>273</v>
      </c>
      <c r="F552" s="6">
        <f t="shared" si="95"/>
        <v>14804.1</v>
      </c>
      <c r="G552" s="389">
        <f t="shared" si="95"/>
        <v>14800.699000000001</v>
      </c>
      <c r="H552" s="389">
        <f t="shared" si="93"/>
        <v>99.977026634513408</v>
      </c>
    </row>
    <row r="553" spans="1:8" ht="15.75" x14ac:dyDescent="0.25">
      <c r="A553" s="396" t="s">
        <v>274</v>
      </c>
      <c r="B553" s="20" t="s">
        <v>264</v>
      </c>
      <c r="C553" s="20" t="s">
        <v>118</v>
      </c>
      <c r="D553" s="20" t="s">
        <v>1229</v>
      </c>
      <c r="E553" s="20" t="s">
        <v>275</v>
      </c>
      <c r="F553" s="331">
        <f>'Пр.4 ведом.21'!G635</f>
        <v>14804.1</v>
      </c>
      <c r="G553" s="331">
        <f>'Пр.4 ведом.21'!H635</f>
        <v>14800.699000000001</v>
      </c>
      <c r="H553" s="389">
        <f t="shared" si="93"/>
        <v>99.977026634513408</v>
      </c>
    </row>
    <row r="554" spans="1:8" ht="47.25" x14ac:dyDescent="0.25">
      <c r="A554" s="394" t="s">
        <v>899</v>
      </c>
      <c r="B554" s="24" t="s">
        <v>264</v>
      </c>
      <c r="C554" s="24" t="s">
        <v>118</v>
      </c>
      <c r="D554" s="24" t="s">
        <v>1230</v>
      </c>
      <c r="E554" s="24"/>
      <c r="F554" s="4">
        <f>F558+F561+F564+F555</f>
        <v>84767.164999999994</v>
      </c>
      <c r="G554" s="388">
        <f>G558+G561+G564+G555</f>
        <v>83643.203000000009</v>
      </c>
      <c r="H554" s="492">
        <f t="shared" si="93"/>
        <v>98.674059702244392</v>
      </c>
    </row>
    <row r="555" spans="1:8" s="191" customFormat="1" ht="94.5" x14ac:dyDescent="0.25">
      <c r="A555" s="31" t="s">
        <v>293</v>
      </c>
      <c r="B555" s="20" t="s">
        <v>264</v>
      </c>
      <c r="C555" s="20" t="s">
        <v>118</v>
      </c>
      <c r="D555" s="20" t="s">
        <v>1389</v>
      </c>
      <c r="E555" s="20"/>
      <c r="F555" s="6">
        <f t="shared" ref="F555:G556" si="96">F556</f>
        <v>3230</v>
      </c>
      <c r="G555" s="389">
        <f t="shared" si="96"/>
        <v>3122</v>
      </c>
      <c r="H555" s="389">
        <f t="shared" si="93"/>
        <v>96.656346749226003</v>
      </c>
    </row>
    <row r="556" spans="1:8" s="191" customFormat="1" ht="31.5" x14ac:dyDescent="0.25">
      <c r="A556" s="396" t="s">
        <v>272</v>
      </c>
      <c r="B556" s="20" t="s">
        <v>264</v>
      </c>
      <c r="C556" s="20" t="s">
        <v>118</v>
      </c>
      <c r="D556" s="20" t="s">
        <v>1389</v>
      </c>
      <c r="E556" s="20" t="s">
        <v>273</v>
      </c>
      <c r="F556" s="6">
        <f t="shared" si="96"/>
        <v>3230</v>
      </c>
      <c r="G556" s="389">
        <f t="shared" si="96"/>
        <v>3122</v>
      </c>
      <c r="H556" s="389">
        <f t="shared" si="93"/>
        <v>96.656346749226003</v>
      </c>
    </row>
    <row r="557" spans="1:8" s="191" customFormat="1" ht="15.75" x14ac:dyDescent="0.25">
      <c r="A557" s="396" t="s">
        <v>274</v>
      </c>
      <c r="B557" s="20" t="s">
        <v>264</v>
      </c>
      <c r="C557" s="20" t="s">
        <v>118</v>
      </c>
      <c r="D557" s="20" t="s">
        <v>1389</v>
      </c>
      <c r="E557" s="20" t="s">
        <v>275</v>
      </c>
      <c r="F557" s="6">
        <f>'Пр.4 ведом.21'!G639</f>
        <v>3230</v>
      </c>
      <c r="G557" s="389">
        <f>'Пр.4 ведом.21'!H639</f>
        <v>3122</v>
      </c>
      <c r="H557" s="389">
        <f t="shared" si="93"/>
        <v>96.656346749226003</v>
      </c>
    </row>
    <row r="558" spans="1:8" ht="47.25" customHeight="1" x14ac:dyDescent="0.25">
      <c r="A558" s="31" t="s">
        <v>289</v>
      </c>
      <c r="B558" s="20" t="s">
        <v>264</v>
      </c>
      <c r="C558" s="20" t="s">
        <v>118</v>
      </c>
      <c r="D558" s="20" t="s">
        <v>1231</v>
      </c>
      <c r="E558" s="20"/>
      <c r="F558" s="6">
        <f t="shared" ref="F558:G559" si="97">F559</f>
        <v>589</v>
      </c>
      <c r="G558" s="389">
        <f t="shared" si="97"/>
        <v>365.92200000000003</v>
      </c>
      <c r="H558" s="389">
        <f t="shared" si="93"/>
        <v>62.125976230899838</v>
      </c>
    </row>
    <row r="559" spans="1:8" ht="39.75" customHeight="1" x14ac:dyDescent="0.25">
      <c r="A559" s="396" t="s">
        <v>272</v>
      </c>
      <c r="B559" s="20" t="s">
        <v>264</v>
      </c>
      <c r="C559" s="20" t="s">
        <v>118</v>
      </c>
      <c r="D559" s="20" t="s">
        <v>1231</v>
      </c>
      <c r="E559" s="20" t="s">
        <v>273</v>
      </c>
      <c r="F559" s="6">
        <f t="shared" si="97"/>
        <v>589</v>
      </c>
      <c r="G559" s="389">
        <f t="shared" si="97"/>
        <v>365.92200000000003</v>
      </c>
      <c r="H559" s="389">
        <f t="shared" si="93"/>
        <v>62.125976230899838</v>
      </c>
    </row>
    <row r="560" spans="1:8" ht="15.75" customHeight="1" x14ac:dyDescent="0.25">
      <c r="A560" s="396" t="s">
        <v>274</v>
      </c>
      <c r="B560" s="20" t="s">
        <v>264</v>
      </c>
      <c r="C560" s="20" t="s">
        <v>118</v>
      </c>
      <c r="D560" s="20" t="s">
        <v>1231</v>
      </c>
      <c r="E560" s="20" t="s">
        <v>275</v>
      </c>
      <c r="F560" s="6">
        <f>'Пр.4 ведом.21'!G642</f>
        <v>589</v>
      </c>
      <c r="G560" s="389">
        <f>'Пр.4 ведом.21'!H642</f>
        <v>365.92200000000003</v>
      </c>
      <c r="H560" s="389">
        <f t="shared" si="93"/>
        <v>62.125976230899838</v>
      </c>
    </row>
    <row r="561" spans="1:8" ht="71.45" customHeight="1" x14ac:dyDescent="0.25">
      <c r="A561" s="31" t="s">
        <v>291</v>
      </c>
      <c r="B561" s="20" t="s">
        <v>264</v>
      </c>
      <c r="C561" s="20" t="s">
        <v>118</v>
      </c>
      <c r="D561" s="20" t="s">
        <v>1232</v>
      </c>
      <c r="E561" s="20"/>
      <c r="F561" s="6">
        <f t="shared" ref="F561:G562" si="98">F562</f>
        <v>1497.5</v>
      </c>
      <c r="G561" s="389">
        <f t="shared" si="98"/>
        <v>1197.864</v>
      </c>
      <c r="H561" s="389">
        <f t="shared" si="93"/>
        <v>79.990918196994997</v>
      </c>
    </row>
    <row r="562" spans="1:8" ht="47.25" customHeight="1" x14ac:dyDescent="0.25">
      <c r="A562" s="396" t="s">
        <v>272</v>
      </c>
      <c r="B562" s="20" t="s">
        <v>264</v>
      </c>
      <c r="C562" s="20" t="s">
        <v>118</v>
      </c>
      <c r="D562" s="20" t="s">
        <v>1232</v>
      </c>
      <c r="E562" s="20" t="s">
        <v>273</v>
      </c>
      <c r="F562" s="6">
        <f t="shared" si="98"/>
        <v>1497.5</v>
      </c>
      <c r="G562" s="389">
        <f t="shared" si="98"/>
        <v>1197.864</v>
      </c>
      <c r="H562" s="389">
        <f t="shared" si="93"/>
        <v>79.990918196994997</v>
      </c>
    </row>
    <row r="563" spans="1:8" ht="15.75" customHeight="1" x14ac:dyDescent="0.25">
      <c r="A563" s="396" t="s">
        <v>274</v>
      </c>
      <c r="B563" s="20" t="s">
        <v>264</v>
      </c>
      <c r="C563" s="20" t="s">
        <v>118</v>
      </c>
      <c r="D563" s="20" t="s">
        <v>1232</v>
      </c>
      <c r="E563" s="20" t="s">
        <v>275</v>
      </c>
      <c r="F563" s="6">
        <f>'Пр.4 ведом.21'!G645</f>
        <v>1497.5</v>
      </c>
      <c r="G563" s="389">
        <f>'Пр.4 ведом.21'!H645</f>
        <v>1197.864</v>
      </c>
      <c r="H563" s="389">
        <f t="shared" si="93"/>
        <v>79.990918196994997</v>
      </c>
    </row>
    <row r="564" spans="1:8" ht="94.5" x14ac:dyDescent="0.25">
      <c r="A564" s="31" t="s">
        <v>1181</v>
      </c>
      <c r="B564" s="20" t="s">
        <v>264</v>
      </c>
      <c r="C564" s="20" t="s">
        <v>118</v>
      </c>
      <c r="D564" s="20" t="s">
        <v>1233</v>
      </c>
      <c r="E564" s="20"/>
      <c r="F564" s="6">
        <f t="shared" ref="F564:G565" si="99">F565</f>
        <v>79450.664999999994</v>
      </c>
      <c r="G564" s="389">
        <f t="shared" si="99"/>
        <v>78957.417000000001</v>
      </c>
      <c r="H564" s="389">
        <f t="shared" si="93"/>
        <v>99.379177002483246</v>
      </c>
    </row>
    <row r="565" spans="1:8" ht="31.5" x14ac:dyDescent="0.25">
      <c r="A565" s="396" t="s">
        <v>272</v>
      </c>
      <c r="B565" s="20" t="s">
        <v>264</v>
      </c>
      <c r="C565" s="20" t="s">
        <v>118</v>
      </c>
      <c r="D565" s="20" t="s">
        <v>1233</v>
      </c>
      <c r="E565" s="20" t="s">
        <v>273</v>
      </c>
      <c r="F565" s="6">
        <f t="shared" si="99"/>
        <v>79450.664999999994</v>
      </c>
      <c r="G565" s="389">
        <f t="shared" si="99"/>
        <v>78957.417000000001</v>
      </c>
      <c r="H565" s="389">
        <f t="shared" si="93"/>
        <v>99.379177002483246</v>
      </c>
    </row>
    <row r="566" spans="1:8" ht="15.75" x14ac:dyDescent="0.25">
      <c r="A566" s="396" t="s">
        <v>274</v>
      </c>
      <c r="B566" s="20" t="s">
        <v>264</v>
      </c>
      <c r="C566" s="20" t="s">
        <v>118</v>
      </c>
      <c r="D566" s="20" t="s">
        <v>1233</v>
      </c>
      <c r="E566" s="20" t="s">
        <v>275</v>
      </c>
      <c r="F566" s="6">
        <f>'Пр.4 ведом.21'!G648</f>
        <v>79450.664999999994</v>
      </c>
      <c r="G566" s="389">
        <f>'Пр.4 ведом.21'!H648</f>
        <v>78957.417000000001</v>
      </c>
      <c r="H566" s="389">
        <f t="shared" si="93"/>
        <v>99.379177002483246</v>
      </c>
    </row>
    <row r="567" spans="1:8" ht="36" customHeight="1" x14ac:dyDescent="0.25">
      <c r="A567" s="394" t="s">
        <v>1290</v>
      </c>
      <c r="B567" s="24" t="s">
        <v>264</v>
      </c>
      <c r="C567" s="24" t="s">
        <v>118</v>
      </c>
      <c r="D567" s="24" t="s">
        <v>1235</v>
      </c>
      <c r="E567" s="24"/>
      <c r="F567" s="4">
        <f>F568+F571+F574</f>
        <v>4368.3999999999996</v>
      </c>
      <c r="G567" s="388">
        <f>G568+G571+G574</f>
        <v>4333.4089999999997</v>
      </c>
      <c r="H567" s="492">
        <f t="shared" si="93"/>
        <v>99.198997344565527</v>
      </c>
    </row>
    <row r="568" spans="1:8" ht="40.700000000000003" customHeight="1" x14ac:dyDescent="0.25">
      <c r="A568" s="396" t="s">
        <v>278</v>
      </c>
      <c r="B568" s="20" t="s">
        <v>264</v>
      </c>
      <c r="C568" s="20" t="s">
        <v>118</v>
      </c>
      <c r="D568" s="20" t="s">
        <v>1316</v>
      </c>
      <c r="E568" s="20"/>
      <c r="F568" s="6">
        <f>F569</f>
        <v>61.400000000000006</v>
      </c>
      <c r="G568" s="389">
        <f>G569</f>
        <v>61.357999999999997</v>
      </c>
      <c r="H568" s="389">
        <f t="shared" si="93"/>
        <v>99.931596091205193</v>
      </c>
    </row>
    <row r="569" spans="1:8" ht="42" customHeight="1" x14ac:dyDescent="0.25">
      <c r="A569" s="396" t="s">
        <v>272</v>
      </c>
      <c r="B569" s="20" t="s">
        <v>264</v>
      </c>
      <c r="C569" s="20" t="s">
        <v>118</v>
      </c>
      <c r="D569" s="20" t="s">
        <v>1316</v>
      </c>
      <c r="E569" s="20" t="s">
        <v>273</v>
      </c>
      <c r="F569" s="6">
        <f t="shared" ref="F569:G569" si="100">F570</f>
        <v>61.400000000000006</v>
      </c>
      <c r="G569" s="389">
        <f t="shared" si="100"/>
        <v>61.357999999999997</v>
      </c>
      <c r="H569" s="389">
        <f t="shared" si="93"/>
        <v>99.931596091205193</v>
      </c>
    </row>
    <row r="570" spans="1:8" ht="20.25" customHeight="1" x14ac:dyDescent="0.25">
      <c r="A570" s="396" t="s">
        <v>274</v>
      </c>
      <c r="B570" s="20" t="s">
        <v>264</v>
      </c>
      <c r="C570" s="20" t="s">
        <v>118</v>
      </c>
      <c r="D570" s="20" t="s">
        <v>1316</v>
      </c>
      <c r="E570" s="20" t="s">
        <v>275</v>
      </c>
      <c r="F570" s="6">
        <f>'Пр.4 ведом.21'!G652</f>
        <v>61.400000000000006</v>
      </c>
      <c r="G570" s="389">
        <f>'Пр.4 ведом.21'!H652</f>
        <v>61.357999999999997</v>
      </c>
      <c r="H570" s="389">
        <f t="shared" si="93"/>
        <v>99.931596091205193</v>
      </c>
    </row>
    <row r="571" spans="1:8" ht="39.200000000000003" customHeight="1" x14ac:dyDescent="0.25">
      <c r="A571" s="396" t="s">
        <v>280</v>
      </c>
      <c r="B571" s="20" t="s">
        <v>264</v>
      </c>
      <c r="C571" s="20" t="s">
        <v>118</v>
      </c>
      <c r="D571" s="20" t="s">
        <v>1317</v>
      </c>
      <c r="E571" s="20"/>
      <c r="F571" s="6">
        <f>F572</f>
        <v>357</v>
      </c>
      <c r="G571" s="389">
        <f>G572</f>
        <v>356.19099999999997</v>
      </c>
      <c r="H571" s="389">
        <f t="shared" si="93"/>
        <v>99.773389355742296</v>
      </c>
    </row>
    <row r="572" spans="1:8" ht="35.450000000000003" customHeight="1" x14ac:dyDescent="0.25">
      <c r="A572" s="396" t="s">
        <v>272</v>
      </c>
      <c r="B572" s="20" t="s">
        <v>264</v>
      </c>
      <c r="C572" s="20" t="s">
        <v>118</v>
      </c>
      <c r="D572" s="20" t="s">
        <v>1317</v>
      </c>
      <c r="E572" s="20" t="s">
        <v>273</v>
      </c>
      <c r="F572" s="6">
        <f t="shared" ref="F572:G572" si="101">F573</f>
        <v>357</v>
      </c>
      <c r="G572" s="389">
        <f t="shared" si="101"/>
        <v>356.19099999999997</v>
      </c>
      <c r="H572" s="389">
        <f t="shared" si="93"/>
        <v>99.773389355742296</v>
      </c>
    </row>
    <row r="573" spans="1:8" ht="17.45" customHeight="1" x14ac:dyDescent="0.25">
      <c r="A573" s="396" t="s">
        <v>274</v>
      </c>
      <c r="B573" s="20" t="s">
        <v>264</v>
      </c>
      <c r="C573" s="20" t="s">
        <v>118</v>
      </c>
      <c r="D573" s="20" t="s">
        <v>1317</v>
      </c>
      <c r="E573" s="20" t="s">
        <v>275</v>
      </c>
      <c r="F573" s="6">
        <f>'Пр.4 ведом.21'!G655</f>
        <v>357</v>
      </c>
      <c r="G573" s="389">
        <f>'Пр.4 ведом.21'!H655</f>
        <v>356.19099999999997</v>
      </c>
      <c r="H573" s="389">
        <f t="shared" si="93"/>
        <v>99.773389355742296</v>
      </c>
    </row>
    <row r="574" spans="1:8" ht="38.25" customHeight="1" x14ac:dyDescent="0.25">
      <c r="A574" s="29" t="s">
        <v>415</v>
      </c>
      <c r="B574" s="20" t="s">
        <v>264</v>
      </c>
      <c r="C574" s="20" t="s">
        <v>118</v>
      </c>
      <c r="D574" s="20" t="s">
        <v>1236</v>
      </c>
      <c r="E574" s="20"/>
      <c r="F574" s="6">
        <f>F575</f>
        <v>3950</v>
      </c>
      <c r="G574" s="389">
        <f>G575</f>
        <v>3915.86</v>
      </c>
      <c r="H574" s="389">
        <f t="shared" si="93"/>
        <v>99.135696202531648</v>
      </c>
    </row>
    <row r="575" spans="1:8" ht="40.5" customHeight="1" x14ac:dyDescent="0.25">
      <c r="A575" s="396" t="s">
        <v>272</v>
      </c>
      <c r="B575" s="20" t="s">
        <v>264</v>
      </c>
      <c r="C575" s="20" t="s">
        <v>118</v>
      </c>
      <c r="D575" s="20" t="s">
        <v>1236</v>
      </c>
      <c r="E575" s="20" t="s">
        <v>273</v>
      </c>
      <c r="F575" s="6">
        <f>F576</f>
        <v>3950</v>
      </c>
      <c r="G575" s="389">
        <f>G576</f>
        <v>3915.86</v>
      </c>
      <c r="H575" s="389">
        <f t="shared" si="93"/>
        <v>99.135696202531648</v>
      </c>
    </row>
    <row r="576" spans="1:8" ht="15.75" x14ac:dyDescent="0.25">
      <c r="A576" s="396" t="s">
        <v>274</v>
      </c>
      <c r="B576" s="20" t="s">
        <v>264</v>
      </c>
      <c r="C576" s="20" t="s">
        <v>118</v>
      </c>
      <c r="D576" s="20" t="s">
        <v>1236</v>
      </c>
      <c r="E576" s="20" t="s">
        <v>275</v>
      </c>
      <c r="F576" s="6">
        <f>'Пр.4 ведом.21'!G658</f>
        <v>3950</v>
      </c>
      <c r="G576" s="389">
        <f>'Пр.4 ведом.21'!H658</f>
        <v>3915.86</v>
      </c>
      <c r="H576" s="389">
        <f t="shared" si="93"/>
        <v>99.135696202531648</v>
      </c>
    </row>
    <row r="577" spans="1:8" ht="31.5" x14ac:dyDescent="0.25">
      <c r="A577" s="203" t="s">
        <v>947</v>
      </c>
      <c r="B577" s="24" t="s">
        <v>264</v>
      </c>
      <c r="C577" s="24" t="s">
        <v>118</v>
      </c>
      <c r="D577" s="24" t="s">
        <v>1238</v>
      </c>
      <c r="E577" s="24"/>
      <c r="F577" s="4">
        <f>F578+F581+F584</f>
        <v>3181.4</v>
      </c>
      <c r="G577" s="388">
        <f>G578+G581+G584</f>
        <v>3121.4850000000001</v>
      </c>
      <c r="H577" s="492">
        <f t="shared" si="93"/>
        <v>98.116709624693527</v>
      </c>
    </row>
    <row r="578" spans="1:8" ht="31.5" hidden="1" x14ac:dyDescent="0.25">
      <c r="A578" s="396" t="s">
        <v>284</v>
      </c>
      <c r="B578" s="20" t="s">
        <v>264</v>
      </c>
      <c r="C578" s="20" t="s">
        <v>118</v>
      </c>
      <c r="D578" s="20" t="s">
        <v>1256</v>
      </c>
      <c r="E578" s="20"/>
      <c r="F578" s="6">
        <f>F579</f>
        <v>0</v>
      </c>
      <c r="G578" s="389">
        <f>G579</f>
        <v>0</v>
      </c>
      <c r="H578" s="389" t="e">
        <f t="shared" si="93"/>
        <v>#DIV/0!</v>
      </c>
    </row>
    <row r="579" spans="1:8" ht="31.5" hidden="1" x14ac:dyDescent="0.25">
      <c r="A579" s="396" t="s">
        <v>272</v>
      </c>
      <c r="B579" s="20" t="s">
        <v>264</v>
      </c>
      <c r="C579" s="20" t="s">
        <v>118</v>
      </c>
      <c r="D579" s="20" t="s">
        <v>1256</v>
      </c>
      <c r="E579" s="20" t="s">
        <v>273</v>
      </c>
      <c r="F579" s="6">
        <f>F580</f>
        <v>0</v>
      </c>
      <c r="G579" s="389">
        <f>G580</f>
        <v>0</v>
      </c>
      <c r="H579" s="389" t="e">
        <f t="shared" si="93"/>
        <v>#DIV/0!</v>
      </c>
    </row>
    <row r="580" spans="1:8" ht="15.75" hidden="1" x14ac:dyDescent="0.25">
      <c r="A580" s="396" t="s">
        <v>274</v>
      </c>
      <c r="B580" s="20" t="s">
        <v>264</v>
      </c>
      <c r="C580" s="20" t="s">
        <v>118</v>
      </c>
      <c r="D580" s="20" t="s">
        <v>1256</v>
      </c>
      <c r="E580" s="20" t="s">
        <v>275</v>
      </c>
      <c r="F580" s="6">
        <f>'Пр.4 ведом.21'!G662</f>
        <v>0</v>
      </c>
      <c r="G580" s="389">
        <f>'Пр.4 ведом.21'!H662</f>
        <v>0</v>
      </c>
      <c r="H580" s="389" t="e">
        <f t="shared" si="93"/>
        <v>#DIV/0!</v>
      </c>
    </row>
    <row r="581" spans="1:8" ht="31.5" x14ac:dyDescent="0.25">
      <c r="A581" s="60" t="s">
        <v>764</v>
      </c>
      <c r="B581" s="20" t="s">
        <v>264</v>
      </c>
      <c r="C581" s="20" t="s">
        <v>118</v>
      </c>
      <c r="D581" s="20" t="s">
        <v>1239</v>
      </c>
      <c r="E581" s="20"/>
      <c r="F581" s="6">
        <f>F582</f>
        <v>2245.4</v>
      </c>
      <c r="G581" s="389">
        <f>G582</f>
        <v>2217.7280000000001</v>
      </c>
      <c r="H581" s="389">
        <f t="shared" si="93"/>
        <v>98.767613788189195</v>
      </c>
    </row>
    <row r="582" spans="1:8" ht="31.5" x14ac:dyDescent="0.25">
      <c r="A582" s="29" t="s">
        <v>272</v>
      </c>
      <c r="B582" s="20" t="s">
        <v>264</v>
      </c>
      <c r="C582" s="20" t="s">
        <v>118</v>
      </c>
      <c r="D582" s="20" t="s">
        <v>1239</v>
      </c>
      <c r="E582" s="20" t="s">
        <v>273</v>
      </c>
      <c r="F582" s="6">
        <f>F583</f>
        <v>2245.4</v>
      </c>
      <c r="G582" s="389">
        <f>G583</f>
        <v>2217.7280000000001</v>
      </c>
      <c r="H582" s="389">
        <f t="shared" si="93"/>
        <v>98.767613788189195</v>
      </c>
    </row>
    <row r="583" spans="1:8" ht="15.75" x14ac:dyDescent="0.25">
      <c r="A583" s="180" t="s">
        <v>274</v>
      </c>
      <c r="B583" s="20" t="s">
        <v>264</v>
      </c>
      <c r="C583" s="20" t="s">
        <v>118</v>
      </c>
      <c r="D583" s="20" t="s">
        <v>1239</v>
      </c>
      <c r="E583" s="20" t="s">
        <v>275</v>
      </c>
      <c r="F583" s="6">
        <f>'Пр.4 ведом.21'!G665</f>
        <v>2245.4</v>
      </c>
      <c r="G583" s="389">
        <f>'Пр.4 ведом.21'!H665</f>
        <v>2217.7280000000001</v>
      </c>
      <c r="H583" s="389">
        <f t="shared" si="93"/>
        <v>98.767613788189195</v>
      </c>
    </row>
    <row r="584" spans="1:8" ht="47.25" x14ac:dyDescent="0.25">
      <c r="A584" s="60" t="s">
        <v>765</v>
      </c>
      <c r="B584" s="20" t="s">
        <v>264</v>
      </c>
      <c r="C584" s="20" t="s">
        <v>118</v>
      </c>
      <c r="D584" s="20" t="s">
        <v>1240</v>
      </c>
      <c r="E584" s="20"/>
      <c r="F584" s="6">
        <f>F585</f>
        <v>936</v>
      </c>
      <c r="G584" s="389">
        <f>G585</f>
        <v>903.75699999999995</v>
      </c>
      <c r="H584" s="389">
        <f t="shared" si="93"/>
        <v>96.555235042735035</v>
      </c>
    </row>
    <row r="585" spans="1:8" ht="31.5" x14ac:dyDescent="0.25">
      <c r="A585" s="29" t="s">
        <v>272</v>
      </c>
      <c r="B585" s="20" t="s">
        <v>264</v>
      </c>
      <c r="C585" s="20" t="s">
        <v>118</v>
      </c>
      <c r="D585" s="20" t="s">
        <v>1240</v>
      </c>
      <c r="E585" s="20" t="s">
        <v>273</v>
      </c>
      <c r="F585" s="6">
        <f>F586</f>
        <v>936</v>
      </c>
      <c r="G585" s="389">
        <f>G586</f>
        <v>903.75699999999995</v>
      </c>
      <c r="H585" s="389">
        <f t="shared" ref="H585:H648" si="102">G585/F585*100</f>
        <v>96.555235042735035</v>
      </c>
    </row>
    <row r="586" spans="1:8" ht="15.75" x14ac:dyDescent="0.25">
      <c r="A586" s="180" t="s">
        <v>274</v>
      </c>
      <c r="B586" s="20" t="s">
        <v>264</v>
      </c>
      <c r="C586" s="20" t="s">
        <v>118</v>
      </c>
      <c r="D586" s="20" t="s">
        <v>1240</v>
      </c>
      <c r="E586" s="20" t="s">
        <v>275</v>
      </c>
      <c r="F586" s="6">
        <f>'Пр.4 ведом.21'!G668</f>
        <v>936</v>
      </c>
      <c r="G586" s="389">
        <f>'Пр.4 ведом.21'!H668</f>
        <v>903.75699999999995</v>
      </c>
      <c r="H586" s="389">
        <f t="shared" si="102"/>
        <v>96.555235042735035</v>
      </c>
    </row>
    <row r="587" spans="1:8" ht="65.25" customHeight="1" x14ac:dyDescent="0.25">
      <c r="A587" s="394" t="s">
        <v>932</v>
      </c>
      <c r="B587" s="24" t="s">
        <v>264</v>
      </c>
      <c r="C587" s="24" t="s">
        <v>118</v>
      </c>
      <c r="D587" s="24" t="s">
        <v>1241</v>
      </c>
      <c r="E587" s="24"/>
      <c r="F587" s="4">
        <f t="shared" ref="F587:G589" si="103">F588</f>
        <v>291.10000000000002</v>
      </c>
      <c r="G587" s="388">
        <f t="shared" si="103"/>
        <v>91</v>
      </c>
      <c r="H587" s="492">
        <f t="shared" si="102"/>
        <v>31.260735142562691</v>
      </c>
    </row>
    <row r="588" spans="1:8" ht="110.25" x14ac:dyDescent="0.25">
      <c r="A588" s="396" t="s">
        <v>1491</v>
      </c>
      <c r="B588" s="20" t="s">
        <v>264</v>
      </c>
      <c r="C588" s="20" t="s">
        <v>118</v>
      </c>
      <c r="D588" s="20" t="s">
        <v>1242</v>
      </c>
      <c r="E588" s="20"/>
      <c r="F588" s="6">
        <f t="shared" si="103"/>
        <v>291.10000000000002</v>
      </c>
      <c r="G588" s="389">
        <f t="shared" si="103"/>
        <v>91</v>
      </c>
      <c r="H588" s="389">
        <f t="shared" si="102"/>
        <v>31.260735142562691</v>
      </c>
    </row>
    <row r="589" spans="1:8" ht="31.5" x14ac:dyDescent="0.25">
      <c r="A589" s="29" t="s">
        <v>272</v>
      </c>
      <c r="B589" s="20" t="s">
        <v>264</v>
      </c>
      <c r="C589" s="20" t="s">
        <v>118</v>
      </c>
      <c r="D589" s="20" t="s">
        <v>1242</v>
      </c>
      <c r="E589" s="20" t="s">
        <v>273</v>
      </c>
      <c r="F589" s="6">
        <f t="shared" si="103"/>
        <v>291.10000000000002</v>
      </c>
      <c r="G589" s="389">
        <f t="shared" si="103"/>
        <v>91</v>
      </c>
      <c r="H589" s="389">
        <f t="shared" si="102"/>
        <v>31.260735142562691</v>
      </c>
    </row>
    <row r="590" spans="1:8" ht="15.75" x14ac:dyDescent="0.25">
      <c r="A590" s="180" t="s">
        <v>274</v>
      </c>
      <c r="B590" s="20" t="s">
        <v>264</v>
      </c>
      <c r="C590" s="20" t="s">
        <v>118</v>
      </c>
      <c r="D590" s="20" t="s">
        <v>1242</v>
      </c>
      <c r="E590" s="20" t="s">
        <v>275</v>
      </c>
      <c r="F590" s="6">
        <f>'Пр.4 ведом.21'!G672</f>
        <v>291.10000000000002</v>
      </c>
      <c r="G590" s="389">
        <f>'Пр.4 ведом.21'!H672</f>
        <v>91</v>
      </c>
      <c r="H590" s="389">
        <f t="shared" si="102"/>
        <v>31.260735142562691</v>
      </c>
    </row>
    <row r="591" spans="1:8" s="191" customFormat="1" ht="94.5" x14ac:dyDescent="0.25">
      <c r="A591" s="394" t="s">
        <v>1164</v>
      </c>
      <c r="B591" s="24" t="s">
        <v>264</v>
      </c>
      <c r="C591" s="24" t="s">
        <v>118</v>
      </c>
      <c r="D591" s="24" t="s">
        <v>1244</v>
      </c>
      <c r="E591" s="24"/>
      <c r="F591" s="21">
        <f t="shared" ref="F591:G593" si="104">F592</f>
        <v>1738</v>
      </c>
      <c r="G591" s="393">
        <f t="shared" si="104"/>
        <v>1410.192</v>
      </c>
      <c r="H591" s="492">
        <f t="shared" si="102"/>
        <v>81.138780207134644</v>
      </c>
    </row>
    <row r="592" spans="1:8" s="191" customFormat="1" ht="94.5" x14ac:dyDescent="0.25">
      <c r="A592" s="148" t="s">
        <v>1474</v>
      </c>
      <c r="B592" s="20" t="s">
        <v>264</v>
      </c>
      <c r="C592" s="20" t="s">
        <v>118</v>
      </c>
      <c r="D592" s="20" t="s">
        <v>1245</v>
      </c>
      <c r="E592" s="20"/>
      <c r="F592" s="26">
        <f t="shared" si="104"/>
        <v>1738</v>
      </c>
      <c r="G592" s="397">
        <f t="shared" si="104"/>
        <v>1410.192</v>
      </c>
      <c r="H592" s="389">
        <f t="shared" si="102"/>
        <v>81.138780207134644</v>
      </c>
    </row>
    <row r="593" spans="1:8" s="191" customFormat="1" ht="31.5" x14ac:dyDescent="0.25">
      <c r="A593" s="396" t="s">
        <v>272</v>
      </c>
      <c r="B593" s="20" t="s">
        <v>264</v>
      </c>
      <c r="C593" s="20" t="s">
        <v>118</v>
      </c>
      <c r="D593" s="20" t="s">
        <v>1245</v>
      </c>
      <c r="E593" s="20" t="s">
        <v>273</v>
      </c>
      <c r="F593" s="26">
        <f t="shared" si="104"/>
        <v>1738</v>
      </c>
      <c r="G593" s="397">
        <f t="shared" si="104"/>
        <v>1410.192</v>
      </c>
      <c r="H593" s="389">
        <f t="shared" si="102"/>
        <v>81.138780207134644</v>
      </c>
    </row>
    <row r="594" spans="1:8" s="191" customFormat="1" ht="15.75" x14ac:dyDescent="0.25">
      <c r="A594" s="396" t="s">
        <v>274</v>
      </c>
      <c r="B594" s="20" t="s">
        <v>264</v>
      </c>
      <c r="C594" s="20" t="s">
        <v>118</v>
      </c>
      <c r="D594" s="20" t="s">
        <v>1245</v>
      </c>
      <c r="E594" s="20" t="s">
        <v>275</v>
      </c>
      <c r="F594" s="26">
        <f>'Пр.4 ведом.21'!G676</f>
        <v>1738</v>
      </c>
      <c r="G594" s="397">
        <f>'Пр.4 ведом.21'!H676</f>
        <v>1410.192</v>
      </c>
      <c r="H594" s="389">
        <f t="shared" si="102"/>
        <v>81.138780207134644</v>
      </c>
    </row>
    <row r="595" spans="1:8" s="377" customFormat="1" ht="31.5" x14ac:dyDescent="0.25">
      <c r="A595" s="268" t="s">
        <v>1554</v>
      </c>
      <c r="B595" s="24" t="s">
        <v>264</v>
      </c>
      <c r="C595" s="24" t="s">
        <v>118</v>
      </c>
      <c r="D595" s="24" t="s">
        <v>1556</v>
      </c>
      <c r="E595" s="24"/>
      <c r="F595" s="21">
        <f t="shared" ref="F595:G597" si="105">F596</f>
        <v>9.8149999999999977</v>
      </c>
      <c r="G595" s="393">
        <f t="shared" si="105"/>
        <v>0</v>
      </c>
      <c r="H595" s="492">
        <f t="shared" si="102"/>
        <v>0</v>
      </c>
    </row>
    <row r="596" spans="1:8" s="377" customFormat="1" ht="31.5" x14ac:dyDescent="0.25">
      <c r="A596" s="267" t="s">
        <v>1555</v>
      </c>
      <c r="B596" s="379" t="s">
        <v>264</v>
      </c>
      <c r="C596" s="379" t="s">
        <v>118</v>
      </c>
      <c r="D596" s="379" t="s">
        <v>1557</v>
      </c>
      <c r="E596" s="379"/>
      <c r="F596" s="26">
        <f t="shared" si="105"/>
        <v>9.8149999999999977</v>
      </c>
      <c r="G596" s="397">
        <f t="shared" si="105"/>
        <v>0</v>
      </c>
      <c r="H596" s="389">
        <f t="shared" si="102"/>
        <v>0</v>
      </c>
    </row>
    <row r="597" spans="1:8" s="377" customFormat="1" ht="31.5" x14ac:dyDescent="0.25">
      <c r="A597" s="31" t="s">
        <v>272</v>
      </c>
      <c r="B597" s="379" t="s">
        <v>264</v>
      </c>
      <c r="C597" s="379" t="s">
        <v>118</v>
      </c>
      <c r="D597" s="379" t="s">
        <v>1557</v>
      </c>
      <c r="E597" s="379" t="s">
        <v>273</v>
      </c>
      <c r="F597" s="26">
        <f t="shared" si="105"/>
        <v>9.8149999999999977</v>
      </c>
      <c r="G597" s="397">
        <f t="shared" si="105"/>
        <v>0</v>
      </c>
      <c r="H597" s="389">
        <f t="shared" si="102"/>
        <v>0</v>
      </c>
    </row>
    <row r="598" spans="1:8" s="377" customFormat="1" ht="15.75" x14ac:dyDescent="0.25">
      <c r="A598" s="31" t="s">
        <v>274</v>
      </c>
      <c r="B598" s="379" t="s">
        <v>264</v>
      </c>
      <c r="C598" s="379" t="s">
        <v>118</v>
      </c>
      <c r="D598" s="379" t="s">
        <v>1557</v>
      </c>
      <c r="E598" s="379" t="s">
        <v>275</v>
      </c>
      <c r="F598" s="26">
        <f>'Пр.4 ведом.21'!G683</f>
        <v>9.8149999999999977</v>
      </c>
      <c r="G598" s="397">
        <f>'Пр.4 ведом.21'!H683</f>
        <v>0</v>
      </c>
      <c r="H598" s="389">
        <f t="shared" si="102"/>
        <v>0</v>
      </c>
    </row>
    <row r="599" spans="1:8" s="387" customFormat="1" ht="47.25" x14ac:dyDescent="0.25">
      <c r="A599" s="268" t="s">
        <v>1559</v>
      </c>
      <c r="B599" s="395" t="s">
        <v>264</v>
      </c>
      <c r="C599" s="395" t="s">
        <v>118</v>
      </c>
      <c r="D599" s="395" t="s">
        <v>1562</v>
      </c>
      <c r="E599" s="395"/>
      <c r="F599" s="393">
        <f t="shared" ref="F599:G601" si="106">F600</f>
        <v>2606.89</v>
      </c>
      <c r="G599" s="393">
        <f t="shared" si="106"/>
        <v>2352.38</v>
      </c>
      <c r="H599" s="492">
        <f t="shared" si="102"/>
        <v>90.237025727974725</v>
      </c>
    </row>
    <row r="600" spans="1:8" s="387" customFormat="1" ht="47.25" x14ac:dyDescent="0.25">
      <c r="A600" s="267" t="s">
        <v>1560</v>
      </c>
      <c r="B600" s="392" t="s">
        <v>264</v>
      </c>
      <c r="C600" s="392" t="s">
        <v>118</v>
      </c>
      <c r="D600" s="392" t="s">
        <v>1561</v>
      </c>
      <c r="E600" s="392"/>
      <c r="F600" s="397">
        <f t="shared" si="106"/>
        <v>2606.89</v>
      </c>
      <c r="G600" s="397">
        <f t="shared" si="106"/>
        <v>2352.38</v>
      </c>
      <c r="H600" s="389">
        <f t="shared" si="102"/>
        <v>90.237025727974725</v>
      </c>
    </row>
    <row r="601" spans="1:8" s="387" customFormat="1" ht="31.5" x14ac:dyDescent="0.25">
      <c r="A601" s="31" t="s">
        <v>272</v>
      </c>
      <c r="B601" s="392" t="s">
        <v>264</v>
      </c>
      <c r="C601" s="392" t="s">
        <v>118</v>
      </c>
      <c r="D601" s="392" t="s">
        <v>1561</v>
      </c>
      <c r="E601" s="392" t="s">
        <v>273</v>
      </c>
      <c r="F601" s="397">
        <f t="shared" si="106"/>
        <v>2606.89</v>
      </c>
      <c r="G601" s="397">
        <f t="shared" si="106"/>
        <v>2352.38</v>
      </c>
      <c r="H601" s="389">
        <f t="shared" si="102"/>
        <v>90.237025727974725</v>
      </c>
    </row>
    <row r="602" spans="1:8" s="387" customFormat="1" ht="15.75" x14ac:dyDescent="0.25">
      <c r="A602" s="31" t="s">
        <v>274</v>
      </c>
      <c r="B602" s="392" t="s">
        <v>264</v>
      </c>
      <c r="C602" s="392" t="s">
        <v>118</v>
      </c>
      <c r="D602" s="392" t="s">
        <v>1561</v>
      </c>
      <c r="E602" s="392" t="s">
        <v>275</v>
      </c>
      <c r="F602" s="397">
        <f>'Пр.4 ведом.21'!G687</f>
        <v>2606.89</v>
      </c>
      <c r="G602" s="397">
        <f>'Пр.4 ведом.21'!H687</f>
        <v>2352.38</v>
      </c>
      <c r="H602" s="389">
        <f t="shared" si="102"/>
        <v>90.237025727974725</v>
      </c>
    </row>
    <row r="603" spans="1:8" ht="53.65" customHeight="1" x14ac:dyDescent="0.25">
      <c r="A603" s="34" t="s">
        <v>1356</v>
      </c>
      <c r="B603" s="24" t="s">
        <v>264</v>
      </c>
      <c r="C603" s="24" t="s">
        <v>118</v>
      </c>
      <c r="D603" s="24" t="s">
        <v>324</v>
      </c>
      <c r="E603" s="24"/>
      <c r="F603" s="4">
        <f t="shared" ref="F603:G605" si="107">F604</f>
        <v>95</v>
      </c>
      <c r="G603" s="388">
        <f t="shared" si="107"/>
        <v>94.78</v>
      </c>
      <c r="H603" s="492">
        <f t="shared" si="102"/>
        <v>99.768421052631581</v>
      </c>
    </row>
    <row r="604" spans="1:8" ht="63" x14ac:dyDescent="0.25">
      <c r="A604" s="34" t="s">
        <v>1008</v>
      </c>
      <c r="B604" s="24" t="s">
        <v>264</v>
      </c>
      <c r="C604" s="24" t="s">
        <v>118</v>
      </c>
      <c r="D604" s="24" t="s">
        <v>933</v>
      </c>
      <c r="E604" s="24"/>
      <c r="F604" s="4">
        <f t="shared" si="107"/>
        <v>95</v>
      </c>
      <c r="G604" s="388">
        <f t="shared" si="107"/>
        <v>94.78</v>
      </c>
      <c r="H604" s="492">
        <f t="shared" si="102"/>
        <v>99.768421052631581</v>
      </c>
    </row>
    <row r="605" spans="1:8" ht="47.25" x14ac:dyDescent="0.25">
      <c r="A605" s="31" t="s">
        <v>1007</v>
      </c>
      <c r="B605" s="20" t="s">
        <v>264</v>
      </c>
      <c r="C605" s="20" t="s">
        <v>118</v>
      </c>
      <c r="D605" s="20" t="s">
        <v>934</v>
      </c>
      <c r="E605" s="20"/>
      <c r="F605" s="6">
        <f t="shared" si="107"/>
        <v>95</v>
      </c>
      <c r="G605" s="389">
        <f t="shared" si="107"/>
        <v>94.78</v>
      </c>
      <c r="H605" s="389">
        <f t="shared" si="102"/>
        <v>99.768421052631581</v>
      </c>
    </row>
    <row r="606" spans="1:8" ht="31.5" x14ac:dyDescent="0.25">
      <c r="A606" s="31" t="s">
        <v>272</v>
      </c>
      <c r="B606" s="20" t="s">
        <v>264</v>
      </c>
      <c r="C606" s="20" t="s">
        <v>118</v>
      </c>
      <c r="D606" s="20" t="s">
        <v>934</v>
      </c>
      <c r="E606" s="20" t="s">
        <v>273</v>
      </c>
      <c r="F606" s="6">
        <f t="shared" ref="F606:G606" si="108">F607</f>
        <v>95</v>
      </c>
      <c r="G606" s="389">
        <f t="shared" si="108"/>
        <v>94.78</v>
      </c>
      <c r="H606" s="389">
        <f t="shared" si="102"/>
        <v>99.768421052631581</v>
      </c>
    </row>
    <row r="607" spans="1:8" ht="15.75" x14ac:dyDescent="0.25">
      <c r="A607" s="31" t="s">
        <v>274</v>
      </c>
      <c r="B607" s="20" t="s">
        <v>264</v>
      </c>
      <c r="C607" s="20" t="s">
        <v>118</v>
      </c>
      <c r="D607" s="20" t="s">
        <v>934</v>
      </c>
      <c r="E607" s="20" t="s">
        <v>275</v>
      </c>
      <c r="F607" s="6">
        <f>'Пр.4 ведом.21'!G692</f>
        <v>95</v>
      </c>
      <c r="G607" s="389">
        <f>'Пр.4 ведом.21'!H692</f>
        <v>94.78</v>
      </c>
      <c r="H607" s="389">
        <f t="shared" si="102"/>
        <v>99.768421052631581</v>
      </c>
    </row>
    <row r="608" spans="1:8" ht="47.25" x14ac:dyDescent="0.25">
      <c r="A608" s="400" t="s">
        <v>1351</v>
      </c>
      <c r="B608" s="24" t="s">
        <v>264</v>
      </c>
      <c r="C608" s="24" t="s">
        <v>118</v>
      </c>
      <c r="D608" s="24" t="s">
        <v>705</v>
      </c>
      <c r="E608" s="206"/>
      <c r="F608" s="4">
        <f>F609</f>
        <v>600.20000000000005</v>
      </c>
      <c r="G608" s="388">
        <f>G609</f>
        <v>590.07100000000003</v>
      </c>
      <c r="H608" s="492">
        <f t="shared" si="102"/>
        <v>98.312395868043978</v>
      </c>
    </row>
    <row r="609" spans="1:8" ht="47.25" x14ac:dyDescent="0.25">
      <c r="A609" s="400" t="s">
        <v>889</v>
      </c>
      <c r="B609" s="24" t="s">
        <v>264</v>
      </c>
      <c r="C609" s="24" t="s">
        <v>118</v>
      </c>
      <c r="D609" s="24" t="s">
        <v>887</v>
      </c>
      <c r="E609" s="206"/>
      <c r="F609" s="4">
        <f t="shared" ref="F609:G610" si="109">F610</f>
        <v>600.20000000000005</v>
      </c>
      <c r="G609" s="388">
        <f t="shared" si="109"/>
        <v>590.07100000000003</v>
      </c>
      <c r="H609" s="492">
        <f t="shared" si="102"/>
        <v>98.312395868043978</v>
      </c>
    </row>
    <row r="610" spans="1:8" ht="47.25" x14ac:dyDescent="0.25">
      <c r="A610" s="98" t="s">
        <v>780</v>
      </c>
      <c r="B610" s="20" t="s">
        <v>264</v>
      </c>
      <c r="C610" s="20" t="s">
        <v>118</v>
      </c>
      <c r="D610" s="20" t="s">
        <v>935</v>
      </c>
      <c r="E610" s="32"/>
      <c r="F610" s="6">
        <f t="shared" si="109"/>
        <v>600.20000000000005</v>
      </c>
      <c r="G610" s="389">
        <f t="shared" si="109"/>
        <v>590.07100000000003</v>
      </c>
      <c r="H610" s="389">
        <f t="shared" si="102"/>
        <v>98.312395868043978</v>
      </c>
    </row>
    <row r="611" spans="1:8" ht="31.5" x14ac:dyDescent="0.25">
      <c r="A611" s="29" t="s">
        <v>272</v>
      </c>
      <c r="B611" s="20" t="s">
        <v>264</v>
      </c>
      <c r="C611" s="20" t="s">
        <v>118</v>
      </c>
      <c r="D611" s="20" t="s">
        <v>935</v>
      </c>
      <c r="E611" s="32" t="s">
        <v>273</v>
      </c>
      <c r="F611" s="6">
        <f>F612</f>
        <v>600.20000000000005</v>
      </c>
      <c r="G611" s="389">
        <f>G612</f>
        <v>590.07100000000003</v>
      </c>
      <c r="H611" s="389">
        <f t="shared" si="102"/>
        <v>98.312395868043978</v>
      </c>
    </row>
    <row r="612" spans="1:8" ht="24.75" customHeight="1" x14ac:dyDescent="0.25">
      <c r="A612" s="180" t="s">
        <v>274</v>
      </c>
      <c r="B612" s="20" t="s">
        <v>264</v>
      </c>
      <c r="C612" s="20" t="s">
        <v>118</v>
      </c>
      <c r="D612" s="20" t="s">
        <v>935</v>
      </c>
      <c r="E612" s="32" t="s">
        <v>275</v>
      </c>
      <c r="F612" s="6">
        <f>'Пр.4 ведом.21'!G697</f>
        <v>600.20000000000005</v>
      </c>
      <c r="G612" s="389">
        <f>'Пр.4 ведом.21'!H697</f>
        <v>590.07100000000003</v>
      </c>
      <c r="H612" s="389">
        <f t="shared" si="102"/>
        <v>98.312395868043978</v>
      </c>
    </row>
    <row r="613" spans="1:8" ht="15.75" x14ac:dyDescent="0.25">
      <c r="A613" s="400" t="s">
        <v>425</v>
      </c>
      <c r="B613" s="7" t="s">
        <v>264</v>
      </c>
      <c r="C613" s="7" t="s">
        <v>213</v>
      </c>
      <c r="D613" s="7"/>
      <c r="E613" s="7"/>
      <c r="F613" s="4">
        <f>F614+F694+F699</f>
        <v>194871.88</v>
      </c>
      <c r="G613" s="388">
        <f>G614+G694+G699</f>
        <v>192216.45499999999</v>
      </c>
      <c r="H613" s="492">
        <f t="shared" si="102"/>
        <v>98.637348292632055</v>
      </c>
    </row>
    <row r="614" spans="1:8" ht="34.700000000000003" customHeight="1" x14ac:dyDescent="0.25">
      <c r="A614" s="394" t="s">
        <v>1357</v>
      </c>
      <c r="B614" s="24" t="s">
        <v>264</v>
      </c>
      <c r="C614" s="24" t="s">
        <v>213</v>
      </c>
      <c r="D614" s="24" t="s">
        <v>406</v>
      </c>
      <c r="E614" s="24"/>
      <c r="F614" s="4">
        <f>F615+F619+F638+F651+F658+F662+F666+F670+F674+F690+F686+F678+F682</f>
        <v>194034.88</v>
      </c>
      <c r="G614" s="388">
        <f>G615+G619+G638+G651+G658+G662+G666+G670+G674+G690+G686+G678+G682</f>
        <v>191432.07199999999</v>
      </c>
      <c r="H614" s="492">
        <f t="shared" si="102"/>
        <v>98.658587569410201</v>
      </c>
    </row>
    <row r="615" spans="1:8" ht="31.5" x14ac:dyDescent="0.25">
      <c r="A615" s="394" t="s">
        <v>936</v>
      </c>
      <c r="B615" s="24" t="s">
        <v>264</v>
      </c>
      <c r="C615" s="24" t="s">
        <v>213</v>
      </c>
      <c r="D615" s="24" t="s">
        <v>1228</v>
      </c>
      <c r="E615" s="24"/>
      <c r="F615" s="4">
        <f>F616</f>
        <v>31403.812999999998</v>
      </c>
      <c r="G615" s="388">
        <f>G616</f>
        <v>31398.613000000001</v>
      </c>
      <c r="H615" s="492">
        <f t="shared" si="102"/>
        <v>99.983441501196054</v>
      </c>
    </row>
    <row r="616" spans="1:8" ht="47.25" x14ac:dyDescent="0.25">
      <c r="A616" s="396" t="s">
        <v>1234</v>
      </c>
      <c r="B616" s="20" t="s">
        <v>264</v>
      </c>
      <c r="C616" s="20" t="s">
        <v>213</v>
      </c>
      <c r="D616" s="20" t="s">
        <v>1247</v>
      </c>
      <c r="E616" s="20"/>
      <c r="F616" s="331">
        <f t="shared" ref="F616:G616" si="110">F617</f>
        <v>31403.812999999998</v>
      </c>
      <c r="G616" s="331">
        <f t="shared" si="110"/>
        <v>31398.613000000001</v>
      </c>
      <c r="H616" s="389">
        <f t="shared" si="102"/>
        <v>99.983441501196054</v>
      </c>
    </row>
    <row r="617" spans="1:8" ht="39.75" customHeight="1" x14ac:dyDescent="0.25">
      <c r="A617" s="396" t="s">
        <v>272</v>
      </c>
      <c r="B617" s="20" t="s">
        <v>264</v>
      </c>
      <c r="C617" s="20" t="s">
        <v>213</v>
      </c>
      <c r="D617" s="20" t="s">
        <v>1247</v>
      </c>
      <c r="E617" s="20" t="s">
        <v>273</v>
      </c>
      <c r="F617" s="331">
        <f>'Пр.4 ведом.21'!G703</f>
        <v>31403.812999999998</v>
      </c>
      <c r="G617" s="331">
        <f>'Пр.4 ведом.21'!H703</f>
        <v>31398.613000000001</v>
      </c>
      <c r="H617" s="389">
        <f t="shared" si="102"/>
        <v>99.983441501196054</v>
      </c>
    </row>
    <row r="618" spans="1:8" ht="15.75" x14ac:dyDescent="0.25">
      <c r="A618" s="396" t="s">
        <v>274</v>
      </c>
      <c r="B618" s="20" t="s">
        <v>264</v>
      </c>
      <c r="C618" s="20" t="s">
        <v>213</v>
      </c>
      <c r="D618" s="20" t="s">
        <v>1247</v>
      </c>
      <c r="E618" s="20" t="s">
        <v>275</v>
      </c>
      <c r="F618" s="6">
        <f>'Пр.4 ведом.21'!G703</f>
        <v>31403.812999999998</v>
      </c>
      <c r="G618" s="389">
        <f>'Пр.4 ведом.21'!H703</f>
        <v>31398.613000000001</v>
      </c>
      <c r="H618" s="389">
        <f t="shared" si="102"/>
        <v>99.983441501196054</v>
      </c>
    </row>
    <row r="619" spans="1:8" ht="48.95" customHeight="1" x14ac:dyDescent="0.25">
      <c r="A619" s="394" t="s">
        <v>899</v>
      </c>
      <c r="B619" s="24" t="s">
        <v>264</v>
      </c>
      <c r="C619" s="24" t="s">
        <v>213</v>
      </c>
      <c r="D619" s="24" t="s">
        <v>1230</v>
      </c>
      <c r="E619" s="24"/>
      <c r="F619" s="4">
        <f>F626+F629+F632+F635+F623+F620</f>
        <v>140785.44300000003</v>
      </c>
      <c r="G619" s="388">
        <f>G626+G629+G632+G635+G623+G620</f>
        <v>139274.32999999999</v>
      </c>
      <c r="H619" s="492">
        <f t="shared" si="102"/>
        <v>98.926655364503816</v>
      </c>
    </row>
    <row r="620" spans="1:8" s="191" customFormat="1" ht="67.7" customHeight="1" x14ac:dyDescent="0.25">
      <c r="A620" s="396" t="s">
        <v>1391</v>
      </c>
      <c r="B620" s="20" t="s">
        <v>264</v>
      </c>
      <c r="C620" s="20" t="s">
        <v>213</v>
      </c>
      <c r="D620" s="20" t="s">
        <v>1392</v>
      </c>
      <c r="E620" s="20"/>
      <c r="F620" s="27">
        <f>F621</f>
        <v>7028</v>
      </c>
      <c r="G620" s="27">
        <f>G621</f>
        <v>6734.8</v>
      </c>
      <c r="H620" s="389">
        <f t="shared" si="102"/>
        <v>95.828116107000568</v>
      </c>
    </row>
    <row r="621" spans="1:8" s="191" customFormat="1" ht="36.75" customHeight="1" x14ac:dyDescent="0.25">
      <c r="A621" s="396" t="s">
        <v>272</v>
      </c>
      <c r="B621" s="20" t="s">
        <v>264</v>
      </c>
      <c r="C621" s="20" t="s">
        <v>213</v>
      </c>
      <c r="D621" s="20" t="s">
        <v>1392</v>
      </c>
      <c r="E621" s="20" t="s">
        <v>273</v>
      </c>
      <c r="F621" s="27">
        <f>F622</f>
        <v>7028</v>
      </c>
      <c r="G621" s="27">
        <f>G622</f>
        <v>6734.8</v>
      </c>
      <c r="H621" s="389">
        <f t="shared" si="102"/>
        <v>95.828116107000568</v>
      </c>
    </row>
    <row r="622" spans="1:8" s="191" customFormat="1" ht="17.649999999999999" customHeight="1" x14ac:dyDescent="0.25">
      <c r="A622" s="396" t="s">
        <v>274</v>
      </c>
      <c r="B622" s="20" t="s">
        <v>264</v>
      </c>
      <c r="C622" s="20" t="s">
        <v>213</v>
      </c>
      <c r="D622" s="20" t="s">
        <v>1392</v>
      </c>
      <c r="E622" s="20" t="s">
        <v>275</v>
      </c>
      <c r="F622" s="27">
        <f>'Пр.4 ведом.21'!G707</f>
        <v>7028</v>
      </c>
      <c r="G622" s="27">
        <f>'Пр.4 ведом.21'!H707</f>
        <v>6734.8</v>
      </c>
      <c r="H622" s="389">
        <f t="shared" si="102"/>
        <v>95.828116107000568</v>
      </c>
    </row>
    <row r="623" spans="1:8" s="191" customFormat="1" ht="95.1" customHeight="1" x14ac:dyDescent="0.25">
      <c r="A623" s="31" t="s">
        <v>464</v>
      </c>
      <c r="B623" s="20" t="s">
        <v>264</v>
      </c>
      <c r="C623" s="20" t="s">
        <v>213</v>
      </c>
      <c r="D623" s="20" t="s">
        <v>1389</v>
      </c>
      <c r="E623" s="20"/>
      <c r="F623" s="6">
        <f>F624</f>
        <v>4699.7370000000001</v>
      </c>
      <c r="G623" s="389">
        <f>G624</f>
        <v>4649.268</v>
      </c>
      <c r="H623" s="389">
        <f t="shared" si="102"/>
        <v>98.926131398416544</v>
      </c>
    </row>
    <row r="624" spans="1:8" s="191" customFormat="1" ht="40.15" customHeight="1" x14ac:dyDescent="0.25">
      <c r="A624" s="396" t="s">
        <v>272</v>
      </c>
      <c r="B624" s="20" t="s">
        <v>264</v>
      </c>
      <c r="C624" s="20" t="s">
        <v>213</v>
      </c>
      <c r="D624" s="20" t="s">
        <v>1389</v>
      </c>
      <c r="E624" s="20" t="s">
        <v>273</v>
      </c>
      <c r="F624" s="6">
        <f>F625</f>
        <v>4699.7370000000001</v>
      </c>
      <c r="G624" s="389">
        <f>G625</f>
        <v>4649.268</v>
      </c>
      <c r="H624" s="389">
        <f t="shared" si="102"/>
        <v>98.926131398416544</v>
      </c>
    </row>
    <row r="625" spans="1:8" s="191" customFormat="1" ht="17.100000000000001" customHeight="1" x14ac:dyDescent="0.25">
      <c r="A625" s="396" t="s">
        <v>274</v>
      </c>
      <c r="B625" s="20" t="s">
        <v>264</v>
      </c>
      <c r="C625" s="20" t="s">
        <v>213</v>
      </c>
      <c r="D625" s="20" t="s">
        <v>1389</v>
      </c>
      <c r="E625" s="20" t="s">
        <v>275</v>
      </c>
      <c r="F625" s="6">
        <f>'Пр.4 ведом.21'!G710</f>
        <v>4699.7370000000001</v>
      </c>
      <c r="G625" s="389">
        <f>'Пр.4 ведом.21'!H710</f>
        <v>4649.268</v>
      </c>
      <c r="H625" s="389">
        <f t="shared" si="102"/>
        <v>98.926131398416544</v>
      </c>
    </row>
    <row r="626" spans="1:8" ht="79.5" customHeight="1" x14ac:dyDescent="0.25">
      <c r="A626" s="31" t="s">
        <v>1182</v>
      </c>
      <c r="B626" s="20" t="s">
        <v>264</v>
      </c>
      <c r="C626" s="20" t="s">
        <v>213</v>
      </c>
      <c r="D626" s="20" t="s">
        <v>1248</v>
      </c>
      <c r="E626" s="20"/>
      <c r="F626" s="6">
        <f>F627</f>
        <v>124618.84300000002</v>
      </c>
      <c r="G626" s="389">
        <f>G627</f>
        <v>124522.533</v>
      </c>
      <c r="H626" s="389">
        <f t="shared" si="102"/>
        <v>99.922716342343165</v>
      </c>
    </row>
    <row r="627" spans="1:8" ht="35.450000000000003" customHeight="1" x14ac:dyDescent="0.25">
      <c r="A627" s="396" t="s">
        <v>272</v>
      </c>
      <c r="B627" s="20" t="s">
        <v>264</v>
      </c>
      <c r="C627" s="20" t="s">
        <v>213</v>
      </c>
      <c r="D627" s="20" t="s">
        <v>1248</v>
      </c>
      <c r="E627" s="20" t="s">
        <v>273</v>
      </c>
      <c r="F627" s="6">
        <f t="shared" ref="F627:G627" si="111">F628</f>
        <v>124618.84300000002</v>
      </c>
      <c r="G627" s="389">
        <f t="shared" si="111"/>
        <v>124522.533</v>
      </c>
      <c r="H627" s="389">
        <f t="shared" si="102"/>
        <v>99.922716342343165</v>
      </c>
    </row>
    <row r="628" spans="1:8" ht="15.75" customHeight="1" x14ac:dyDescent="0.25">
      <c r="A628" s="396" t="s">
        <v>274</v>
      </c>
      <c r="B628" s="20" t="s">
        <v>264</v>
      </c>
      <c r="C628" s="20" t="s">
        <v>213</v>
      </c>
      <c r="D628" s="20" t="s">
        <v>1248</v>
      </c>
      <c r="E628" s="20" t="s">
        <v>275</v>
      </c>
      <c r="F628" s="6">
        <f>'Пр.4 ведом.21'!G713</f>
        <v>124618.84300000002</v>
      </c>
      <c r="G628" s="389">
        <f>'Пр.4 ведом.21'!H713</f>
        <v>124522.533</v>
      </c>
      <c r="H628" s="389">
        <f t="shared" si="102"/>
        <v>99.922716342343165</v>
      </c>
    </row>
    <row r="629" spans="1:8" ht="72" customHeight="1" x14ac:dyDescent="0.25">
      <c r="A629" s="31" t="s">
        <v>289</v>
      </c>
      <c r="B629" s="20" t="s">
        <v>264</v>
      </c>
      <c r="C629" s="20" t="s">
        <v>213</v>
      </c>
      <c r="D629" s="20" t="s">
        <v>1231</v>
      </c>
      <c r="E629" s="20"/>
      <c r="F629" s="6">
        <f>F630</f>
        <v>1152.2629999999999</v>
      </c>
      <c r="G629" s="389">
        <f>G630</f>
        <v>606.80700000000002</v>
      </c>
      <c r="H629" s="389">
        <f t="shared" si="102"/>
        <v>52.662196043785144</v>
      </c>
    </row>
    <row r="630" spans="1:8" ht="31.7" customHeight="1" x14ac:dyDescent="0.25">
      <c r="A630" s="396" t="s">
        <v>272</v>
      </c>
      <c r="B630" s="20" t="s">
        <v>264</v>
      </c>
      <c r="C630" s="20" t="s">
        <v>213</v>
      </c>
      <c r="D630" s="20" t="s">
        <v>1231</v>
      </c>
      <c r="E630" s="20" t="s">
        <v>273</v>
      </c>
      <c r="F630" s="6">
        <f t="shared" ref="F630:G630" si="112">F631</f>
        <v>1152.2629999999999</v>
      </c>
      <c r="G630" s="389">
        <f t="shared" si="112"/>
        <v>606.80700000000002</v>
      </c>
      <c r="H630" s="389">
        <f t="shared" si="102"/>
        <v>52.662196043785144</v>
      </c>
    </row>
    <row r="631" spans="1:8" ht="18" customHeight="1" x14ac:dyDescent="0.25">
      <c r="A631" s="396" t="s">
        <v>274</v>
      </c>
      <c r="B631" s="20" t="s">
        <v>264</v>
      </c>
      <c r="C631" s="20" t="s">
        <v>213</v>
      </c>
      <c r="D631" s="20" t="s">
        <v>1231</v>
      </c>
      <c r="E631" s="20" t="s">
        <v>275</v>
      </c>
      <c r="F631" s="6">
        <f>'Пр.4 ведом.21'!G716</f>
        <v>1152.2629999999999</v>
      </c>
      <c r="G631" s="389">
        <f>'Пр.4 ведом.21'!H716</f>
        <v>606.80700000000002</v>
      </c>
      <c r="H631" s="389">
        <f t="shared" si="102"/>
        <v>52.662196043785144</v>
      </c>
    </row>
    <row r="632" spans="1:8" ht="67.7" customHeight="1" x14ac:dyDescent="0.25">
      <c r="A632" s="31" t="s">
        <v>291</v>
      </c>
      <c r="B632" s="20" t="s">
        <v>264</v>
      </c>
      <c r="C632" s="20" t="s">
        <v>213</v>
      </c>
      <c r="D632" s="20" t="s">
        <v>1232</v>
      </c>
      <c r="E632" s="20"/>
      <c r="F632" s="6">
        <f>F633</f>
        <v>2386.6</v>
      </c>
      <c r="G632" s="389">
        <f>G633</f>
        <v>1998.92</v>
      </c>
      <c r="H632" s="389">
        <f t="shared" si="102"/>
        <v>83.755970837174232</v>
      </c>
    </row>
    <row r="633" spans="1:8" ht="34.5" customHeight="1" x14ac:dyDescent="0.25">
      <c r="A633" s="396" t="s">
        <v>272</v>
      </c>
      <c r="B633" s="20" t="s">
        <v>264</v>
      </c>
      <c r="C633" s="20" t="s">
        <v>213</v>
      </c>
      <c r="D633" s="20" t="s">
        <v>1232</v>
      </c>
      <c r="E633" s="20" t="s">
        <v>273</v>
      </c>
      <c r="F633" s="6">
        <f t="shared" ref="F633:G633" si="113">F634</f>
        <v>2386.6</v>
      </c>
      <c r="G633" s="389">
        <f t="shared" si="113"/>
        <v>1998.92</v>
      </c>
      <c r="H633" s="389">
        <f t="shared" si="102"/>
        <v>83.755970837174232</v>
      </c>
    </row>
    <row r="634" spans="1:8" ht="15.75" x14ac:dyDescent="0.25">
      <c r="A634" s="396" t="s">
        <v>274</v>
      </c>
      <c r="B634" s="20" t="s">
        <v>264</v>
      </c>
      <c r="C634" s="20" t="s">
        <v>213</v>
      </c>
      <c r="D634" s="20" t="s">
        <v>1232</v>
      </c>
      <c r="E634" s="20" t="s">
        <v>275</v>
      </c>
      <c r="F634" s="6">
        <f>'Пр.4 ведом.21'!G719</f>
        <v>2386.6</v>
      </c>
      <c r="G634" s="389">
        <f>'Пр.4 ведом.21'!H719</f>
        <v>1998.92</v>
      </c>
      <c r="H634" s="389">
        <f t="shared" si="102"/>
        <v>83.755970837174232</v>
      </c>
    </row>
    <row r="635" spans="1:8" ht="47.25" x14ac:dyDescent="0.25">
      <c r="A635" s="31" t="s">
        <v>462</v>
      </c>
      <c r="B635" s="20" t="s">
        <v>264</v>
      </c>
      <c r="C635" s="20" t="s">
        <v>213</v>
      </c>
      <c r="D635" s="20" t="s">
        <v>1249</v>
      </c>
      <c r="E635" s="20"/>
      <c r="F635" s="6">
        <f>F636</f>
        <v>900</v>
      </c>
      <c r="G635" s="389">
        <f>G636</f>
        <v>762.00199999999995</v>
      </c>
      <c r="H635" s="389">
        <f t="shared" si="102"/>
        <v>84.666888888888877</v>
      </c>
    </row>
    <row r="636" spans="1:8" ht="36" customHeight="1" x14ac:dyDescent="0.25">
      <c r="A636" s="396" t="s">
        <v>272</v>
      </c>
      <c r="B636" s="20" t="s">
        <v>264</v>
      </c>
      <c r="C636" s="20" t="s">
        <v>213</v>
      </c>
      <c r="D636" s="20" t="s">
        <v>1249</v>
      </c>
      <c r="E636" s="20" t="s">
        <v>273</v>
      </c>
      <c r="F636" s="6">
        <f t="shared" ref="F636:G636" si="114">F637</f>
        <v>900</v>
      </c>
      <c r="G636" s="389">
        <f t="shared" si="114"/>
        <v>762.00199999999995</v>
      </c>
      <c r="H636" s="389">
        <f t="shared" si="102"/>
        <v>84.666888888888877</v>
      </c>
    </row>
    <row r="637" spans="1:8" ht="15.75" x14ac:dyDescent="0.25">
      <c r="A637" s="396" t="s">
        <v>274</v>
      </c>
      <c r="B637" s="20" t="s">
        <v>264</v>
      </c>
      <c r="C637" s="20" t="s">
        <v>213</v>
      </c>
      <c r="D637" s="20" t="s">
        <v>1249</v>
      </c>
      <c r="E637" s="20" t="s">
        <v>275</v>
      </c>
      <c r="F637" s="6">
        <f>'Пр.4 ведом.21'!G722</f>
        <v>900</v>
      </c>
      <c r="G637" s="389">
        <f>'Пр.4 ведом.21'!H722</f>
        <v>762.00199999999995</v>
      </c>
      <c r="H637" s="389">
        <f t="shared" si="102"/>
        <v>84.666888888888877</v>
      </c>
    </row>
    <row r="638" spans="1:8" ht="31.5" x14ac:dyDescent="0.25">
      <c r="A638" s="394" t="s">
        <v>1302</v>
      </c>
      <c r="B638" s="24" t="s">
        <v>264</v>
      </c>
      <c r="C638" s="24" t="s">
        <v>213</v>
      </c>
      <c r="D638" s="24" t="s">
        <v>1235</v>
      </c>
      <c r="E638" s="24"/>
      <c r="F638" s="4">
        <f>F639+F642+F645+F648</f>
        <v>927.2</v>
      </c>
      <c r="G638" s="388">
        <f>G639+G642+G645+G648</f>
        <v>822.48200000000008</v>
      </c>
      <c r="H638" s="492">
        <f t="shared" si="102"/>
        <v>88.705996548748928</v>
      </c>
    </row>
    <row r="639" spans="1:8" ht="36" hidden="1" customHeight="1" x14ac:dyDescent="0.25">
      <c r="A639" s="396" t="s">
        <v>440</v>
      </c>
      <c r="B639" s="20" t="s">
        <v>264</v>
      </c>
      <c r="C639" s="20" t="s">
        <v>213</v>
      </c>
      <c r="D639" s="20" t="s">
        <v>1315</v>
      </c>
      <c r="E639" s="20"/>
      <c r="F639" s="6">
        <f t="shared" ref="F639:G639" si="115">F640</f>
        <v>0</v>
      </c>
      <c r="G639" s="389">
        <f t="shared" si="115"/>
        <v>0</v>
      </c>
      <c r="H639" s="389" t="e">
        <f t="shared" si="102"/>
        <v>#DIV/0!</v>
      </c>
    </row>
    <row r="640" spans="1:8" ht="35.450000000000003" hidden="1" customHeight="1" x14ac:dyDescent="0.25">
      <c r="A640" s="396" t="s">
        <v>272</v>
      </c>
      <c r="B640" s="20" t="s">
        <v>264</v>
      </c>
      <c r="C640" s="20" t="s">
        <v>213</v>
      </c>
      <c r="D640" s="20" t="s">
        <v>1315</v>
      </c>
      <c r="E640" s="20" t="s">
        <v>273</v>
      </c>
      <c r="F640" s="6">
        <f>F641</f>
        <v>0</v>
      </c>
      <c r="G640" s="389">
        <f>G641</f>
        <v>0</v>
      </c>
      <c r="H640" s="389" t="e">
        <f t="shared" si="102"/>
        <v>#DIV/0!</v>
      </c>
    </row>
    <row r="641" spans="1:8" ht="15.75" hidden="1" x14ac:dyDescent="0.25">
      <c r="A641" s="396" t="s">
        <v>274</v>
      </c>
      <c r="B641" s="20" t="s">
        <v>264</v>
      </c>
      <c r="C641" s="20" t="s">
        <v>213</v>
      </c>
      <c r="D641" s="20" t="s">
        <v>1315</v>
      </c>
      <c r="E641" s="20" t="s">
        <v>275</v>
      </c>
      <c r="F641" s="6">
        <f>'Пр.4 ведом.21'!G726</f>
        <v>0</v>
      </c>
      <c r="G641" s="389">
        <f>'Пр.4 ведом.21'!H726</f>
        <v>0</v>
      </c>
      <c r="H641" s="389" t="e">
        <f t="shared" si="102"/>
        <v>#DIV/0!</v>
      </c>
    </row>
    <row r="642" spans="1:8" ht="31.5" x14ac:dyDescent="0.25">
      <c r="A642" s="396" t="s">
        <v>278</v>
      </c>
      <c r="B642" s="20" t="s">
        <v>264</v>
      </c>
      <c r="C642" s="20" t="s">
        <v>213</v>
      </c>
      <c r="D642" s="20" t="s">
        <v>1316</v>
      </c>
      <c r="E642" s="20"/>
      <c r="F642" s="6">
        <f t="shared" ref="F642:G642" si="116">F643</f>
        <v>300</v>
      </c>
      <c r="G642" s="389">
        <f t="shared" si="116"/>
        <v>300</v>
      </c>
      <c r="H642" s="389">
        <f t="shared" si="102"/>
        <v>100</v>
      </c>
    </row>
    <row r="643" spans="1:8" ht="37.5" customHeight="1" x14ac:dyDescent="0.25">
      <c r="A643" s="396" t="s">
        <v>272</v>
      </c>
      <c r="B643" s="20" t="s">
        <v>264</v>
      </c>
      <c r="C643" s="20" t="s">
        <v>213</v>
      </c>
      <c r="D643" s="20" t="s">
        <v>1316</v>
      </c>
      <c r="E643" s="20" t="s">
        <v>273</v>
      </c>
      <c r="F643" s="6">
        <f>F644</f>
        <v>300</v>
      </c>
      <c r="G643" s="389">
        <f>G644</f>
        <v>300</v>
      </c>
      <c r="H643" s="389">
        <f t="shared" si="102"/>
        <v>100</v>
      </c>
    </row>
    <row r="644" spans="1:8" ht="15.75" x14ac:dyDescent="0.25">
      <c r="A644" s="396" t="s">
        <v>274</v>
      </c>
      <c r="B644" s="20" t="s">
        <v>264</v>
      </c>
      <c r="C644" s="20" t="s">
        <v>213</v>
      </c>
      <c r="D644" s="20" t="s">
        <v>1316</v>
      </c>
      <c r="E644" s="20" t="s">
        <v>275</v>
      </c>
      <c r="F644" s="6">
        <f>'Пр.4 ведом.21'!G729</f>
        <v>300</v>
      </c>
      <c r="G644" s="389">
        <f>'Пр.4 ведом.21'!H729</f>
        <v>300</v>
      </c>
      <c r="H644" s="389">
        <f t="shared" si="102"/>
        <v>100</v>
      </c>
    </row>
    <row r="645" spans="1:8" ht="31.5" x14ac:dyDescent="0.25">
      <c r="A645" s="396" t="s">
        <v>280</v>
      </c>
      <c r="B645" s="20" t="s">
        <v>264</v>
      </c>
      <c r="C645" s="20" t="s">
        <v>213</v>
      </c>
      <c r="D645" s="20" t="s">
        <v>1317</v>
      </c>
      <c r="E645" s="20"/>
      <c r="F645" s="6">
        <f t="shared" ref="F645:G645" si="117">F646</f>
        <v>394.4</v>
      </c>
      <c r="G645" s="389">
        <f t="shared" si="117"/>
        <v>394.38200000000001</v>
      </c>
      <c r="H645" s="389">
        <f t="shared" si="102"/>
        <v>99.995436105476671</v>
      </c>
    </row>
    <row r="646" spans="1:8" ht="31.7" customHeight="1" x14ac:dyDescent="0.25">
      <c r="A646" s="396" t="s">
        <v>272</v>
      </c>
      <c r="B646" s="20" t="s">
        <v>264</v>
      </c>
      <c r="C646" s="20" t="s">
        <v>213</v>
      </c>
      <c r="D646" s="20" t="s">
        <v>1317</v>
      </c>
      <c r="E646" s="20" t="s">
        <v>273</v>
      </c>
      <c r="F646" s="6">
        <f>F647</f>
        <v>394.4</v>
      </c>
      <c r="G646" s="389">
        <f>G647</f>
        <v>394.38200000000001</v>
      </c>
      <c r="H646" s="389">
        <f t="shared" si="102"/>
        <v>99.995436105476671</v>
      </c>
    </row>
    <row r="647" spans="1:8" ht="15.75" x14ac:dyDescent="0.25">
      <c r="A647" s="396" t="s">
        <v>274</v>
      </c>
      <c r="B647" s="20" t="s">
        <v>264</v>
      </c>
      <c r="C647" s="20" t="s">
        <v>213</v>
      </c>
      <c r="D647" s="20" t="s">
        <v>1317</v>
      </c>
      <c r="E647" s="20" t="s">
        <v>275</v>
      </c>
      <c r="F647" s="6">
        <f>'Пр.4 ведом.21'!G732</f>
        <v>394.4</v>
      </c>
      <c r="G647" s="389">
        <f>'Пр.4 ведом.21'!H732</f>
        <v>394.38200000000001</v>
      </c>
      <c r="H647" s="389">
        <f t="shared" si="102"/>
        <v>99.995436105476671</v>
      </c>
    </row>
    <row r="648" spans="1:8" ht="31.5" x14ac:dyDescent="0.25">
      <c r="A648" s="396" t="s">
        <v>282</v>
      </c>
      <c r="B648" s="20" t="s">
        <v>264</v>
      </c>
      <c r="C648" s="20" t="s">
        <v>213</v>
      </c>
      <c r="D648" s="20" t="s">
        <v>1251</v>
      </c>
      <c r="E648" s="20"/>
      <c r="F648" s="6">
        <f t="shared" ref="F648:G648" si="118">F649</f>
        <v>232.8</v>
      </c>
      <c r="G648" s="389">
        <f t="shared" si="118"/>
        <v>128.1</v>
      </c>
      <c r="H648" s="389">
        <f t="shared" si="102"/>
        <v>55.025773195876283</v>
      </c>
    </row>
    <row r="649" spans="1:8" ht="52.5" customHeight="1" x14ac:dyDescent="0.25">
      <c r="A649" s="396" t="s">
        <v>272</v>
      </c>
      <c r="B649" s="20" t="s">
        <v>264</v>
      </c>
      <c r="C649" s="20" t="s">
        <v>213</v>
      </c>
      <c r="D649" s="20" t="s">
        <v>1251</v>
      </c>
      <c r="E649" s="20" t="s">
        <v>273</v>
      </c>
      <c r="F649" s="6">
        <f>F650</f>
        <v>232.8</v>
      </c>
      <c r="G649" s="389">
        <f>G650</f>
        <v>128.1</v>
      </c>
      <c r="H649" s="389">
        <f t="shared" ref="H649:H712" si="119">G649/F649*100</f>
        <v>55.025773195876283</v>
      </c>
    </row>
    <row r="650" spans="1:8" ht="15" customHeight="1" x14ac:dyDescent="0.25">
      <c r="A650" s="396" t="s">
        <v>274</v>
      </c>
      <c r="B650" s="20" t="s">
        <v>264</v>
      </c>
      <c r="C650" s="20" t="s">
        <v>213</v>
      </c>
      <c r="D650" s="20" t="s">
        <v>1251</v>
      </c>
      <c r="E650" s="20" t="s">
        <v>275</v>
      </c>
      <c r="F650" s="6">
        <f>'Пр.4 ведом.21'!G735</f>
        <v>232.8</v>
      </c>
      <c r="G650" s="389">
        <f>'Пр.4 ведом.21'!H735</f>
        <v>128.1</v>
      </c>
      <c r="H650" s="389">
        <f t="shared" si="119"/>
        <v>55.025773195876283</v>
      </c>
    </row>
    <row r="651" spans="1:8" s="191" customFormat="1" ht="36.75" customHeight="1" x14ac:dyDescent="0.25">
      <c r="A651" s="203" t="s">
        <v>947</v>
      </c>
      <c r="B651" s="24" t="s">
        <v>264</v>
      </c>
      <c r="C651" s="24" t="s">
        <v>213</v>
      </c>
      <c r="D651" s="24" t="s">
        <v>1238</v>
      </c>
      <c r="E651" s="24"/>
      <c r="F651" s="4">
        <f>F652+F655</f>
        <v>3082.18</v>
      </c>
      <c r="G651" s="388">
        <f>G652+G655</f>
        <v>3023.3580000000002</v>
      </c>
      <c r="H651" s="492">
        <f t="shared" si="119"/>
        <v>98.091545594352056</v>
      </c>
    </row>
    <row r="652" spans="1:8" s="191" customFormat="1" ht="34.5" customHeight="1" x14ac:dyDescent="0.25">
      <c r="A652" s="396" t="s">
        <v>284</v>
      </c>
      <c r="B652" s="20" t="s">
        <v>264</v>
      </c>
      <c r="C652" s="20" t="s">
        <v>213</v>
      </c>
      <c r="D652" s="20" t="s">
        <v>1256</v>
      </c>
      <c r="E652" s="20"/>
      <c r="F652" s="6">
        <f>F653</f>
        <v>44</v>
      </c>
      <c r="G652" s="389">
        <f>G653</f>
        <v>44</v>
      </c>
      <c r="H652" s="389">
        <f t="shared" si="119"/>
        <v>100</v>
      </c>
    </row>
    <row r="653" spans="1:8" s="191" customFormat="1" ht="41.25" customHeight="1" x14ac:dyDescent="0.25">
      <c r="A653" s="396" t="s">
        <v>272</v>
      </c>
      <c r="B653" s="20" t="s">
        <v>264</v>
      </c>
      <c r="C653" s="20" t="s">
        <v>213</v>
      </c>
      <c r="D653" s="20" t="s">
        <v>1256</v>
      </c>
      <c r="E653" s="20" t="s">
        <v>273</v>
      </c>
      <c r="F653" s="6">
        <f>F654</f>
        <v>44</v>
      </c>
      <c r="G653" s="389">
        <f>G654</f>
        <v>44</v>
      </c>
      <c r="H653" s="389">
        <f t="shared" si="119"/>
        <v>100</v>
      </c>
    </row>
    <row r="654" spans="1:8" s="191" customFormat="1" ht="15" customHeight="1" x14ac:dyDescent="0.25">
      <c r="A654" s="396" t="s">
        <v>274</v>
      </c>
      <c r="B654" s="20" t="s">
        <v>264</v>
      </c>
      <c r="C654" s="20" t="s">
        <v>213</v>
      </c>
      <c r="D654" s="20" t="s">
        <v>1256</v>
      </c>
      <c r="E654" s="20" t="s">
        <v>275</v>
      </c>
      <c r="F654" s="6">
        <f>'Пр.4 ведом.21'!G739</f>
        <v>44</v>
      </c>
      <c r="G654" s="389">
        <f>'Пр.4 ведом.21'!H739</f>
        <v>44</v>
      </c>
      <c r="H654" s="389">
        <f t="shared" si="119"/>
        <v>100</v>
      </c>
    </row>
    <row r="655" spans="1:8" s="191" customFormat="1" ht="36.75" customHeight="1" x14ac:dyDescent="0.25">
      <c r="A655" s="60" t="s">
        <v>764</v>
      </c>
      <c r="B655" s="20" t="s">
        <v>264</v>
      </c>
      <c r="C655" s="20" t="s">
        <v>213</v>
      </c>
      <c r="D655" s="20" t="s">
        <v>1239</v>
      </c>
      <c r="E655" s="20"/>
      <c r="F655" s="6">
        <f>F656</f>
        <v>3038.18</v>
      </c>
      <c r="G655" s="389">
        <f>G656</f>
        <v>2979.3580000000002</v>
      </c>
      <c r="H655" s="389">
        <f t="shared" si="119"/>
        <v>98.063906680973489</v>
      </c>
    </row>
    <row r="656" spans="1:8" s="191" customFormat="1" ht="45.75" customHeight="1" x14ac:dyDescent="0.25">
      <c r="A656" s="29" t="s">
        <v>272</v>
      </c>
      <c r="B656" s="20" t="s">
        <v>264</v>
      </c>
      <c r="C656" s="20" t="s">
        <v>213</v>
      </c>
      <c r="D656" s="20" t="s">
        <v>1239</v>
      </c>
      <c r="E656" s="20" t="s">
        <v>273</v>
      </c>
      <c r="F656" s="6">
        <f>F657</f>
        <v>3038.18</v>
      </c>
      <c r="G656" s="389">
        <f>G657</f>
        <v>2979.3580000000002</v>
      </c>
      <c r="H656" s="389">
        <f t="shared" si="119"/>
        <v>98.063906680973489</v>
      </c>
    </row>
    <row r="657" spans="1:8" s="191" customFormat="1" ht="15" customHeight="1" x14ac:dyDescent="0.25">
      <c r="A657" s="180" t="s">
        <v>274</v>
      </c>
      <c r="B657" s="20" t="s">
        <v>264</v>
      </c>
      <c r="C657" s="20" t="s">
        <v>213</v>
      </c>
      <c r="D657" s="20" t="s">
        <v>1239</v>
      </c>
      <c r="E657" s="20" t="s">
        <v>275</v>
      </c>
      <c r="F657" s="6">
        <f>'Пр.4 ведом.21'!G742</f>
        <v>3038.18</v>
      </c>
      <c r="G657" s="389">
        <f>'Пр.4 ведом.21'!H742</f>
        <v>2979.3580000000002</v>
      </c>
      <c r="H657" s="389">
        <f t="shared" si="119"/>
        <v>98.063906680973489</v>
      </c>
    </row>
    <row r="658" spans="1:8" ht="35.450000000000003" customHeight="1" x14ac:dyDescent="0.25">
      <c r="A658" s="394" t="s">
        <v>937</v>
      </c>
      <c r="B658" s="24" t="s">
        <v>264</v>
      </c>
      <c r="C658" s="24" t="s">
        <v>213</v>
      </c>
      <c r="D658" s="24" t="s">
        <v>1252</v>
      </c>
      <c r="E658" s="24"/>
      <c r="F658" s="4">
        <f t="shared" ref="F658:G660" si="120">F659</f>
        <v>3001.8</v>
      </c>
      <c r="G658" s="388">
        <f t="shared" si="120"/>
        <v>2597.4380000000001</v>
      </c>
      <c r="H658" s="492">
        <f t="shared" si="119"/>
        <v>86.529349057232324</v>
      </c>
    </row>
    <row r="659" spans="1:8" s="191" customFormat="1" ht="49.7" customHeight="1" x14ac:dyDescent="0.25">
      <c r="A659" s="29" t="s">
        <v>602</v>
      </c>
      <c r="B659" s="20" t="s">
        <v>264</v>
      </c>
      <c r="C659" s="20" t="s">
        <v>213</v>
      </c>
      <c r="D659" s="20" t="s">
        <v>1253</v>
      </c>
      <c r="E659" s="20"/>
      <c r="F659" s="6">
        <f t="shared" si="120"/>
        <v>3001.8</v>
      </c>
      <c r="G659" s="389">
        <f t="shared" si="120"/>
        <v>2597.4380000000001</v>
      </c>
      <c r="H659" s="389">
        <f t="shared" si="119"/>
        <v>86.529349057232324</v>
      </c>
    </row>
    <row r="660" spans="1:8" s="191" customFormat="1" ht="38.25" customHeight="1" x14ac:dyDescent="0.25">
      <c r="A660" s="396" t="s">
        <v>272</v>
      </c>
      <c r="B660" s="20" t="s">
        <v>264</v>
      </c>
      <c r="C660" s="20" t="s">
        <v>213</v>
      </c>
      <c r="D660" s="20" t="s">
        <v>1253</v>
      </c>
      <c r="E660" s="20" t="s">
        <v>273</v>
      </c>
      <c r="F660" s="6">
        <f t="shared" si="120"/>
        <v>3001.8</v>
      </c>
      <c r="G660" s="389">
        <f t="shared" si="120"/>
        <v>2597.4380000000001</v>
      </c>
      <c r="H660" s="389">
        <f t="shared" si="119"/>
        <v>86.529349057232324</v>
      </c>
    </row>
    <row r="661" spans="1:8" s="191" customFormat="1" ht="14.25" customHeight="1" x14ac:dyDescent="0.25">
      <c r="A661" s="396" t="s">
        <v>274</v>
      </c>
      <c r="B661" s="20" t="s">
        <v>264</v>
      </c>
      <c r="C661" s="20" t="s">
        <v>213</v>
      </c>
      <c r="D661" s="20" t="s">
        <v>1253</v>
      </c>
      <c r="E661" s="20" t="s">
        <v>275</v>
      </c>
      <c r="F661" s="6">
        <f>'Пр.4 ведом.21'!G746</f>
        <v>3001.8</v>
      </c>
      <c r="G661" s="389">
        <f>'Пр.4 ведом.21'!H746</f>
        <v>2597.4380000000001</v>
      </c>
      <c r="H661" s="389">
        <f t="shared" si="119"/>
        <v>86.529349057232324</v>
      </c>
    </row>
    <row r="662" spans="1:8" ht="32.25" customHeight="1" x14ac:dyDescent="0.25">
      <c r="A662" s="394" t="s">
        <v>938</v>
      </c>
      <c r="B662" s="24" t="s">
        <v>264</v>
      </c>
      <c r="C662" s="24" t="s">
        <v>213</v>
      </c>
      <c r="D662" s="24" t="s">
        <v>1254</v>
      </c>
      <c r="E662" s="24"/>
      <c r="F662" s="4">
        <f t="shared" ref="F662:G664" si="121">F663</f>
        <v>1384.6</v>
      </c>
      <c r="G662" s="388">
        <f t="shared" si="121"/>
        <v>1286.415</v>
      </c>
      <c r="H662" s="492">
        <f t="shared" si="119"/>
        <v>92.908782319803564</v>
      </c>
    </row>
    <row r="663" spans="1:8" ht="57" customHeight="1" x14ac:dyDescent="0.25">
      <c r="A663" s="396" t="s">
        <v>438</v>
      </c>
      <c r="B663" s="20" t="s">
        <v>264</v>
      </c>
      <c r="C663" s="20" t="s">
        <v>213</v>
      </c>
      <c r="D663" s="20" t="s">
        <v>1255</v>
      </c>
      <c r="E663" s="20"/>
      <c r="F663" s="6">
        <f t="shared" si="121"/>
        <v>1384.6</v>
      </c>
      <c r="G663" s="389">
        <f t="shared" si="121"/>
        <v>1286.415</v>
      </c>
      <c r="H663" s="389">
        <f t="shared" si="119"/>
        <v>92.908782319803564</v>
      </c>
    </row>
    <row r="664" spans="1:8" ht="48.75" customHeight="1" x14ac:dyDescent="0.25">
      <c r="A664" s="396" t="s">
        <v>272</v>
      </c>
      <c r="B664" s="20" t="s">
        <v>264</v>
      </c>
      <c r="C664" s="20" t="s">
        <v>213</v>
      </c>
      <c r="D664" s="20" t="s">
        <v>1255</v>
      </c>
      <c r="E664" s="20" t="s">
        <v>273</v>
      </c>
      <c r="F664" s="6">
        <f t="shared" si="121"/>
        <v>1384.6</v>
      </c>
      <c r="G664" s="389">
        <f t="shared" si="121"/>
        <v>1286.415</v>
      </c>
      <c r="H664" s="389">
        <f t="shared" si="119"/>
        <v>92.908782319803564</v>
      </c>
    </row>
    <row r="665" spans="1:8" ht="15" customHeight="1" x14ac:dyDescent="0.25">
      <c r="A665" s="396" t="s">
        <v>274</v>
      </c>
      <c r="B665" s="20" t="s">
        <v>264</v>
      </c>
      <c r="C665" s="20" t="s">
        <v>213</v>
      </c>
      <c r="D665" s="20" t="s">
        <v>1255</v>
      </c>
      <c r="E665" s="20" t="s">
        <v>275</v>
      </c>
      <c r="F665" s="6">
        <f>'Пр.4 ведом.21'!G750</f>
        <v>1384.6</v>
      </c>
      <c r="G665" s="389">
        <f>'Пр.4 ведом.21'!H750</f>
        <v>1286.415</v>
      </c>
      <c r="H665" s="389">
        <f t="shared" si="119"/>
        <v>92.908782319803564</v>
      </c>
    </row>
    <row r="666" spans="1:8" ht="31.7" customHeight="1" x14ac:dyDescent="0.25">
      <c r="A666" s="201" t="s">
        <v>939</v>
      </c>
      <c r="B666" s="24" t="s">
        <v>264</v>
      </c>
      <c r="C666" s="24" t="s">
        <v>213</v>
      </c>
      <c r="D666" s="24" t="s">
        <v>1257</v>
      </c>
      <c r="E666" s="24"/>
      <c r="F666" s="4">
        <f>F667</f>
        <v>752.9</v>
      </c>
      <c r="G666" s="388">
        <f>G667</f>
        <v>333.27</v>
      </c>
      <c r="H666" s="492">
        <f t="shared" si="119"/>
        <v>44.26484260858016</v>
      </c>
    </row>
    <row r="667" spans="1:8" ht="51" customHeight="1" x14ac:dyDescent="0.25">
      <c r="A667" s="180" t="s">
        <v>827</v>
      </c>
      <c r="B667" s="20" t="s">
        <v>264</v>
      </c>
      <c r="C667" s="20" t="s">
        <v>213</v>
      </c>
      <c r="D667" s="20" t="s">
        <v>1422</v>
      </c>
      <c r="E667" s="20"/>
      <c r="F667" s="6">
        <f t="shared" ref="F667:G667" si="122">F668</f>
        <v>752.9</v>
      </c>
      <c r="G667" s="389">
        <f t="shared" si="122"/>
        <v>333.27</v>
      </c>
      <c r="H667" s="389">
        <f t="shared" si="119"/>
        <v>44.26484260858016</v>
      </c>
    </row>
    <row r="668" spans="1:8" ht="48" customHeight="1" x14ac:dyDescent="0.25">
      <c r="A668" s="31" t="s">
        <v>272</v>
      </c>
      <c r="B668" s="20" t="s">
        <v>264</v>
      </c>
      <c r="C668" s="20" t="s">
        <v>213</v>
      </c>
      <c r="D668" s="20" t="s">
        <v>1422</v>
      </c>
      <c r="E668" s="20" t="s">
        <v>273</v>
      </c>
      <c r="F668" s="6">
        <f>F669</f>
        <v>752.9</v>
      </c>
      <c r="G668" s="389">
        <f>G669</f>
        <v>333.27</v>
      </c>
      <c r="H668" s="389">
        <f t="shared" si="119"/>
        <v>44.26484260858016</v>
      </c>
    </row>
    <row r="669" spans="1:8" ht="15.75" x14ac:dyDescent="0.25">
      <c r="A669" s="31" t="s">
        <v>274</v>
      </c>
      <c r="B669" s="20" t="s">
        <v>264</v>
      </c>
      <c r="C669" s="20" t="s">
        <v>213</v>
      </c>
      <c r="D669" s="20" t="s">
        <v>1422</v>
      </c>
      <c r="E669" s="20" t="s">
        <v>275</v>
      </c>
      <c r="F669" s="6">
        <f>'Пр.4 ведом.21'!G754</f>
        <v>752.9</v>
      </c>
      <c r="G669" s="389">
        <f>'Пр.4 ведом.21'!H754</f>
        <v>333.27</v>
      </c>
      <c r="H669" s="389">
        <f t="shared" si="119"/>
        <v>44.26484260858016</v>
      </c>
    </row>
    <row r="670" spans="1:8" s="191" customFormat="1" ht="31.5" x14ac:dyDescent="0.25">
      <c r="A670" s="268" t="s">
        <v>1404</v>
      </c>
      <c r="B670" s="24" t="s">
        <v>264</v>
      </c>
      <c r="C670" s="24" t="s">
        <v>213</v>
      </c>
      <c r="D670" s="24" t="s">
        <v>1403</v>
      </c>
      <c r="E670" s="24"/>
      <c r="F670" s="21">
        <f t="shared" ref="F670:G672" si="123">F671</f>
        <v>5296.5999999999995</v>
      </c>
      <c r="G670" s="393">
        <f t="shared" si="123"/>
        <v>5296.5439999999999</v>
      </c>
      <c r="H670" s="492">
        <f t="shared" si="119"/>
        <v>99.998942717970024</v>
      </c>
    </row>
    <row r="671" spans="1:8" ht="63" x14ac:dyDescent="0.25">
      <c r="A671" s="267" t="s">
        <v>1390</v>
      </c>
      <c r="B671" s="20" t="s">
        <v>264</v>
      </c>
      <c r="C671" s="20" t="s">
        <v>213</v>
      </c>
      <c r="D671" s="20" t="s">
        <v>1442</v>
      </c>
      <c r="E671" s="20"/>
      <c r="F671" s="26">
        <f t="shared" si="123"/>
        <v>5296.5999999999995</v>
      </c>
      <c r="G671" s="397">
        <f t="shared" si="123"/>
        <v>5296.5439999999999</v>
      </c>
      <c r="H671" s="389">
        <f t="shared" si="119"/>
        <v>99.998942717970024</v>
      </c>
    </row>
    <row r="672" spans="1:8" ht="31.5" x14ac:dyDescent="0.25">
      <c r="A672" s="31" t="s">
        <v>272</v>
      </c>
      <c r="B672" s="20" t="s">
        <v>264</v>
      </c>
      <c r="C672" s="20" t="s">
        <v>213</v>
      </c>
      <c r="D672" s="20" t="s">
        <v>1442</v>
      </c>
      <c r="E672" s="20" t="s">
        <v>273</v>
      </c>
      <c r="F672" s="26">
        <f t="shared" si="123"/>
        <v>5296.5999999999995</v>
      </c>
      <c r="G672" s="397">
        <f t="shared" si="123"/>
        <v>5296.5439999999999</v>
      </c>
      <c r="H672" s="389">
        <f t="shared" si="119"/>
        <v>99.998942717970024</v>
      </c>
    </row>
    <row r="673" spans="1:8" ht="15.75" x14ac:dyDescent="0.25">
      <c r="A673" s="31" t="s">
        <v>274</v>
      </c>
      <c r="B673" s="20" t="s">
        <v>264</v>
      </c>
      <c r="C673" s="20" t="s">
        <v>213</v>
      </c>
      <c r="D673" s="20" t="s">
        <v>1442</v>
      </c>
      <c r="E673" s="20" t="s">
        <v>275</v>
      </c>
      <c r="F673" s="26">
        <f>'Пр.4 ведом.21'!G758</f>
        <v>5296.5999999999995</v>
      </c>
      <c r="G673" s="397">
        <f>'Пр.4 ведом.21'!H758</f>
        <v>5296.5439999999999</v>
      </c>
      <c r="H673" s="389">
        <f t="shared" si="119"/>
        <v>99.998942717970024</v>
      </c>
    </row>
    <row r="674" spans="1:8" s="191" customFormat="1" ht="31.5" hidden="1" x14ac:dyDescent="0.25">
      <c r="A674" s="268" t="s">
        <v>1426</v>
      </c>
      <c r="B674" s="24" t="s">
        <v>264</v>
      </c>
      <c r="C674" s="24" t="s">
        <v>213</v>
      </c>
      <c r="D674" s="24" t="s">
        <v>1414</v>
      </c>
      <c r="E674" s="24"/>
      <c r="F674" s="21">
        <f t="shared" ref="F674:G676" si="124">F675</f>
        <v>0</v>
      </c>
      <c r="G674" s="393">
        <f t="shared" si="124"/>
        <v>0</v>
      </c>
      <c r="H674" s="389" t="e">
        <f t="shared" si="119"/>
        <v>#DIV/0!</v>
      </c>
    </row>
    <row r="675" spans="1:8" s="191" customFormat="1" ht="31.5" hidden="1" x14ac:dyDescent="0.25">
      <c r="A675" s="267" t="s">
        <v>1415</v>
      </c>
      <c r="B675" s="20" t="s">
        <v>264</v>
      </c>
      <c r="C675" s="20" t="s">
        <v>213</v>
      </c>
      <c r="D675" s="20" t="s">
        <v>1416</v>
      </c>
      <c r="E675" s="20"/>
      <c r="F675" s="26">
        <f t="shared" si="124"/>
        <v>0</v>
      </c>
      <c r="G675" s="397">
        <f t="shared" si="124"/>
        <v>0</v>
      </c>
      <c r="H675" s="389" t="e">
        <f t="shared" si="119"/>
        <v>#DIV/0!</v>
      </c>
    </row>
    <row r="676" spans="1:8" s="191" customFormat="1" ht="31.5" hidden="1" x14ac:dyDescent="0.25">
      <c r="A676" s="31" t="s">
        <v>272</v>
      </c>
      <c r="B676" s="20" t="s">
        <v>264</v>
      </c>
      <c r="C676" s="20" t="s">
        <v>213</v>
      </c>
      <c r="D676" s="20" t="s">
        <v>1416</v>
      </c>
      <c r="E676" s="20" t="s">
        <v>273</v>
      </c>
      <c r="F676" s="26">
        <f t="shared" si="124"/>
        <v>0</v>
      </c>
      <c r="G676" s="397">
        <f t="shared" si="124"/>
        <v>0</v>
      </c>
      <c r="H676" s="389" t="e">
        <f t="shared" si="119"/>
        <v>#DIV/0!</v>
      </c>
    </row>
    <row r="677" spans="1:8" s="191" customFormat="1" ht="15.75" hidden="1" x14ac:dyDescent="0.25">
      <c r="A677" s="31" t="s">
        <v>274</v>
      </c>
      <c r="B677" s="20" t="s">
        <v>264</v>
      </c>
      <c r="C677" s="20" t="s">
        <v>213</v>
      </c>
      <c r="D677" s="20" t="s">
        <v>1416</v>
      </c>
      <c r="E677" s="20" t="s">
        <v>275</v>
      </c>
      <c r="F677" s="26">
        <f>'Пр.4 ведом.21'!G762</f>
        <v>0</v>
      </c>
      <c r="G677" s="397">
        <f>'Пр.4 ведом.21'!H762</f>
        <v>0</v>
      </c>
      <c r="H677" s="389" t="e">
        <f t="shared" si="119"/>
        <v>#DIV/0!</v>
      </c>
    </row>
    <row r="678" spans="1:8" s="377" customFormat="1" ht="47.25" x14ac:dyDescent="0.25">
      <c r="A678" s="268" t="s">
        <v>1543</v>
      </c>
      <c r="B678" s="24" t="s">
        <v>264</v>
      </c>
      <c r="C678" s="24" t="s">
        <v>213</v>
      </c>
      <c r="D678" s="24" t="s">
        <v>1545</v>
      </c>
      <c r="E678" s="24"/>
      <c r="F678" s="21">
        <f t="shared" ref="F678:G680" si="125">F679</f>
        <v>2864.7570000000001</v>
      </c>
      <c r="G678" s="393">
        <f t="shared" si="125"/>
        <v>2864.7559999999999</v>
      </c>
      <c r="H678" s="492">
        <f t="shared" si="119"/>
        <v>99.999965093025338</v>
      </c>
    </row>
    <row r="679" spans="1:8" s="377" customFormat="1" ht="47.25" x14ac:dyDescent="0.25">
      <c r="A679" s="267" t="s">
        <v>450</v>
      </c>
      <c r="B679" s="379" t="s">
        <v>264</v>
      </c>
      <c r="C679" s="379" t="s">
        <v>213</v>
      </c>
      <c r="D679" s="379" t="s">
        <v>1545</v>
      </c>
      <c r="E679" s="379"/>
      <c r="F679" s="26">
        <f t="shared" si="125"/>
        <v>2864.7570000000001</v>
      </c>
      <c r="G679" s="397">
        <f t="shared" si="125"/>
        <v>2864.7559999999999</v>
      </c>
      <c r="H679" s="389">
        <f t="shared" si="119"/>
        <v>99.999965093025338</v>
      </c>
    </row>
    <row r="680" spans="1:8" s="377" customFormat="1" ht="31.5" x14ac:dyDescent="0.25">
      <c r="A680" s="31" t="s">
        <v>272</v>
      </c>
      <c r="B680" s="379" t="s">
        <v>264</v>
      </c>
      <c r="C680" s="379" t="s">
        <v>213</v>
      </c>
      <c r="D680" s="379" t="s">
        <v>1545</v>
      </c>
      <c r="E680" s="379" t="s">
        <v>273</v>
      </c>
      <c r="F680" s="26">
        <f t="shared" si="125"/>
        <v>2864.7570000000001</v>
      </c>
      <c r="G680" s="397">
        <f t="shared" si="125"/>
        <v>2864.7559999999999</v>
      </c>
      <c r="H680" s="389">
        <f t="shared" si="119"/>
        <v>99.999965093025338</v>
      </c>
    </row>
    <row r="681" spans="1:8" s="377" customFormat="1" ht="15.75" x14ac:dyDescent="0.25">
      <c r="A681" s="31" t="s">
        <v>274</v>
      </c>
      <c r="B681" s="379" t="s">
        <v>264</v>
      </c>
      <c r="C681" s="379" t="s">
        <v>213</v>
      </c>
      <c r="D681" s="379" t="s">
        <v>1545</v>
      </c>
      <c r="E681" s="379" t="s">
        <v>275</v>
      </c>
      <c r="F681" s="26">
        <f>'Пр.4 ведом.21'!G766</f>
        <v>2864.7570000000001</v>
      </c>
      <c r="G681" s="397">
        <f>'Пр.4 ведом.21'!H766</f>
        <v>2864.7559999999999</v>
      </c>
      <c r="H681" s="389">
        <f t="shared" si="119"/>
        <v>99.999965093025338</v>
      </c>
    </row>
    <row r="682" spans="1:8" s="377" customFormat="1" ht="31.5" x14ac:dyDescent="0.25">
      <c r="A682" s="268" t="s">
        <v>1554</v>
      </c>
      <c r="B682" s="24" t="s">
        <v>264</v>
      </c>
      <c r="C682" s="24" t="s">
        <v>213</v>
      </c>
      <c r="D682" s="24" t="s">
        <v>1556</v>
      </c>
      <c r="E682" s="24"/>
      <c r="F682" s="21">
        <f t="shared" ref="F682:G684" si="126">F683</f>
        <v>288.29200000000003</v>
      </c>
      <c r="G682" s="393">
        <f t="shared" si="126"/>
        <v>288.25200000000001</v>
      </c>
      <c r="H682" s="492">
        <f t="shared" si="119"/>
        <v>99.986125178638318</v>
      </c>
    </row>
    <row r="683" spans="1:8" s="377" customFormat="1" ht="31.5" x14ac:dyDescent="0.25">
      <c r="A683" s="267" t="s">
        <v>1555</v>
      </c>
      <c r="B683" s="379" t="s">
        <v>264</v>
      </c>
      <c r="C683" s="379" t="s">
        <v>213</v>
      </c>
      <c r="D683" s="379" t="s">
        <v>1557</v>
      </c>
      <c r="E683" s="379"/>
      <c r="F683" s="26">
        <f t="shared" si="126"/>
        <v>288.29200000000003</v>
      </c>
      <c r="G683" s="397">
        <f t="shared" si="126"/>
        <v>288.25200000000001</v>
      </c>
      <c r="H683" s="389">
        <f t="shared" si="119"/>
        <v>99.986125178638318</v>
      </c>
    </row>
    <row r="684" spans="1:8" s="377" customFormat="1" ht="31.5" x14ac:dyDescent="0.25">
      <c r="A684" s="31" t="s">
        <v>272</v>
      </c>
      <c r="B684" s="379" t="s">
        <v>264</v>
      </c>
      <c r="C684" s="379" t="s">
        <v>213</v>
      </c>
      <c r="D684" s="379" t="s">
        <v>1557</v>
      </c>
      <c r="E684" s="379" t="s">
        <v>273</v>
      </c>
      <c r="F684" s="26">
        <f t="shared" si="126"/>
        <v>288.29200000000003</v>
      </c>
      <c r="G684" s="397">
        <f t="shared" si="126"/>
        <v>288.25200000000001</v>
      </c>
      <c r="H684" s="389">
        <f t="shared" si="119"/>
        <v>99.986125178638318</v>
      </c>
    </row>
    <row r="685" spans="1:8" s="377" customFormat="1" ht="15.75" x14ac:dyDescent="0.25">
      <c r="A685" s="31" t="s">
        <v>274</v>
      </c>
      <c r="B685" s="379" t="s">
        <v>264</v>
      </c>
      <c r="C685" s="379" t="s">
        <v>213</v>
      </c>
      <c r="D685" s="379" t="s">
        <v>1557</v>
      </c>
      <c r="E685" s="379" t="s">
        <v>275</v>
      </c>
      <c r="F685" s="26">
        <f>'Пр.4 ведом.21'!G770</f>
        <v>288.29200000000003</v>
      </c>
      <c r="G685" s="397">
        <f>'Пр.4 ведом.21'!H770</f>
        <v>288.25200000000001</v>
      </c>
      <c r="H685" s="389">
        <f t="shared" si="119"/>
        <v>99.986125178638318</v>
      </c>
    </row>
    <row r="686" spans="1:8" s="191" customFormat="1" ht="47.25" x14ac:dyDescent="0.25">
      <c r="A686" s="201" t="s">
        <v>1170</v>
      </c>
      <c r="B686" s="24" t="s">
        <v>264</v>
      </c>
      <c r="C686" s="24" t="s">
        <v>213</v>
      </c>
      <c r="D686" s="24" t="s">
        <v>1318</v>
      </c>
      <c r="E686" s="24"/>
      <c r="F686" s="21">
        <f t="shared" ref="F686:G688" si="127">F687</f>
        <v>1555.65</v>
      </c>
      <c r="G686" s="393">
        <f t="shared" si="127"/>
        <v>1554.9929999999999</v>
      </c>
      <c r="H686" s="492">
        <f t="shared" si="119"/>
        <v>99.957766849869827</v>
      </c>
    </row>
    <row r="687" spans="1:8" s="191" customFormat="1" ht="78.75" x14ac:dyDescent="0.25">
      <c r="A687" s="180" t="s">
        <v>1505</v>
      </c>
      <c r="B687" s="20" t="s">
        <v>264</v>
      </c>
      <c r="C687" s="20" t="s">
        <v>213</v>
      </c>
      <c r="D687" s="20" t="s">
        <v>1319</v>
      </c>
      <c r="E687" s="20"/>
      <c r="F687" s="26">
        <f t="shared" si="127"/>
        <v>1555.65</v>
      </c>
      <c r="G687" s="397">
        <f t="shared" si="127"/>
        <v>1554.9929999999999</v>
      </c>
      <c r="H687" s="389">
        <f t="shared" si="119"/>
        <v>99.957766849869827</v>
      </c>
    </row>
    <row r="688" spans="1:8" s="191" customFormat="1" ht="31.5" x14ac:dyDescent="0.25">
      <c r="A688" s="31" t="s">
        <v>272</v>
      </c>
      <c r="B688" s="20" t="s">
        <v>264</v>
      </c>
      <c r="C688" s="20" t="s">
        <v>213</v>
      </c>
      <c r="D688" s="20" t="s">
        <v>1319</v>
      </c>
      <c r="E688" s="20" t="s">
        <v>273</v>
      </c>
      <c r="F688" s="26">
        <f t="shared" si="127"/>
        <v>1555.65</v>
      </c>
      <c r="G688" s="397">
        <f t="shared" si="127"/>
        <v>1554.9929999999999</v>
      </c>
      <c r="H688" s="389">
        <f t="shared" si="119"/>
        <v>99.957766849869827</v>
      </c>
    </row>
    <row r="689" spans="1:8" s="191" customFormat="1" ht="15.75" x14ac:dyDescent="0.25">
      <c r="A689" s="31" t="s">
        <v>274</v>
      </c>
      <c r="B689" s="20" t="s">
        <v>264</v>
      </c>
      <c r="C689" s="20" t="s">
        <v>213</v>
      </c>
      <c r="D689" s="20" t="s">
        <v>1319</v>
      </c>
      <c r="E689" s="20" t="s">
        <v>275</v>
      </c>
      <c r="F689" s="26">
        <f>'Пр.4 ведом.21'!G774</f>
        <v>1555.65</v>
      </c>
      <c r="G689" s="397">
        <f>'Пр.4 ведом.21'!H774</f>
        <v>1554.9929999999999</v>
      </c>
      <c r="H689" s="389">
        <f t="shared" si="119"/>
        <v>99.957766849869827</v>
      </c>
    </row>
    <row r="690" spans="1:8" s="191" customFormat="1" ht="31.5" x14ac:dyDescent="0.25">
      <c r="A690" s="34" t="s">
        <v>1448</v>
      </c>
      <c r="B690" s="24" t="s">
        <v>264</v>
      </c>
      <c r="C690" s="24" t="s">
        <v>213</v>
      </c>
      <c r="D690" s="24" t="s">
        <v>1449</v>
      </c>
      <c r="E690" s="20"/>
      <c r="F690" s="21">
        <f t="shared" ref="F690:G692" si="128">F691</f>
        <v>2691.645</v>
      </c>
      <c r="G690" s="393">
        <f t="shared" si="128"/>
        <v>2691.6210000000001</v>
      </c>
      <c r="H690" s="492">
        <f t="shared" si="119"/>
        <v>99.999108351955783</v>
      </c>
    </row>
    <row r="691" spans="1:8" s="191" customFormat="1" ht="51" customHeight="1" x14ac:dyDescent="0.25">
      <c r="A691" s="31" t="s">
        <v>1506</v>
      </c>
      <c r="B691" s="20" t="s">
        <v>264</v>
      </c>
      <c r="C691" s="20" t="s">
        <v>213</v>
      </c>
      <c r="D691" s="20" t="s">
        <v>1450</v>
      </c>
      <c r="E691" s="20"/>
      <c r="F691" s="26">
        <f t="shared" si="128"/>
        <v>2691.645</v>
      </c>
      <c r="G691" s="397">
        <f t="shared" si="128"/>
        <v>2691.6210000000001</v>
      </c>
      <c r="H691" s="389">
        <f t="shared" si="119"/>
        <v>99.999108351955783</v>
      </c>
    </row>
    <row r="692" spans="1:8" s="191" customFormat="1" ht="31.5" x14ac:dyDescent="0.25">
      <c r="A692" s="31" t="s">
        <v>272</v>
      </c>
      <c r="B692" s="20" t="s">
        <v>264</v>
      </c>
      <c r="C692" s="20" t="s">
        <v>213</v>
      </c>
      <c r="D692" s="20" t="s">
        <v>1450</v>
      </c>
      <c r="E692" s="20" t="s">
        <v>273</v>
      </c>
      <c r="F692" s="26">
        <f t="shared" si="128"/>
        <v>2691.645</v>
      </c>
      <c r="G692" s="397">
        <f t="shared" si="128"/>
        <v>2691.6210000000001</v>
      </c>
      <c r="H692" s="389">
        <f t="shared" si="119"/>
        <v>99.999108351955783</v>
      </c>
    </row>
    <row r="693" spans="1:8" s="191" customFormat="1" ht="15.75" x14ac:dyDescent="0.25">
      <c r="A693" s="31" t="s">
        <v>274</v>
      </c>
      <c r="B693" s="20" t="s">
        <v>264</v>
      </c>
      <c r="C693" s="20" t="s">
        <v>213</v>
      </c>
      <c r="D693" s="20" t="s">
        <v>1450</v>
      </c>
      <c r="E693" s="20" t="s">
        <v>275</v>
      </c>
      <c r="F693" s="26">
        <f>'Пр.4 ведом.21'!G778</f>
        <v>2691.645</v>
      </c>
      <c r="G693" s="397">
        <f>'Пр.4 ведом.21'!H778</f>
        <v>2691.6210000000001</v>
      </c>
      <c r="H693" s="389">
        <f t="shared" si="119"/>
        <v>99.999108351955783</v>
      </c>
    </row>
    <row r="694" spans="1:8" s="191" customFormat="1" ht="47.25" hidden="1" x14ac:dyDescent="0.25">
      <c r="A694" s="34" t="s">
        <v>1356</v>
      </c>
      <c r="B694" s="24" t="s">
        <v>264</v>
      </c>
      <c r="C694" s="24" t="s">
        <v>213</v>
      </c>
      <c r="D694" s="24" t="s">
        <v>324</v>
      </c>
      <c r="E694" s="24"/>
      <c r="F694" s="4">
        <f t="shared" ref="F694:G694" si="129">F695</f>
        <v>0</v>
      </c>
      <c r="G694" s="388">
        <f t="shared" si="129"/>
        <v>0</v>
      </c>
      <c r="H694" s="389" t="e">
        <f t="shared" si="119"/>
        <v>#DIV/0!</v>
      </c>
    </row>
    <row r="695" spans="1:8" s="191" customFormat="1" ht="63" hidden="1" x14ac:dyDescent="0.25">
      <c r="A695" s="34" t="s">
        <v>1023</v>
      </c>
      <c r="B695" s="24" t="s">
        <v>264</v>
      </c>
      <c r="C695" s="24" t="s">
        <v>213</v>
      </c>
      <c r="D695" s="24" t="s">
        <v>933</v>
      </c>
      <c r="E695" s="24"/>
      <c r="F695" s="4">
        <f>F696</f>
        <v>0</v>
      </c>
      <c r="G695" s="388">
        <f>G696</f>
        <v>0</v>
      </c>
      <c r="H695" s="389" t="e">
        <f t="shared" si="119"/>
        <v>#DIV/0!</v>
      </c>
    </row>
    <row r="696" spans="1:8" s="191" customFormat="1" ht="47.25" hidden="1" x14ac:dyDescent="0.25">
      <c r="A696" s="31" t="s">
        <v>1007</v>
      </c>
      <c r="B696" s="20" t="s">
        <v>264</v>
      </c>
      <c r="C696" s="20" t="s">
        <v>213</v>
      </c>
      <c r="D696" s="20" t="s">
        <v>934</v>
      </c>
      <c r="E696" s="20"/>
      <c r="F696" s="6">
        <f t="shared" ref="F696:G697" si="130">F697</f>
        <v>0</v>
      </c>
      <c r="G696" s="389">
        <f t="shared" si="130"/>
        <v>0</v>
      </c>
      <c r="H696" s="389" t="e">
        <f t="shared" si="119"/>
        <v>#DIV/0!</v>
      </c>
    </row>
    <row r="697" spans="1:8" s="191" customFormat="1" ht="31.5" hidden="1" x14ac:dyDescent="0.25">
      <c r="A697" s="31" t="s">
        <v>272</v>
      </c>
      <c r="B697" s="20" t="s">
        <v>264</v>
      </c>
      <c r="C697" s="20" t="s">
        <v>213</v>
      </c>
      <c r="D697" s="20" t="s">
        <v>934</v>
      </c>
      <c r="E697" s="20" t="s">
        <v>273</v>
      </c>
      <c r="F697" s="6">
        <f t="shared" si="130"/>
        <v>0</v>
      </c>
      <c r="G697" s="389">
        <f t="shared" si="130"/>
        <v>0</v>
      </c>
      <c r="H697" s="389" t="e">
        <f t="shared" si="119"/>
        <v>#DIV/0!</v>
      </c>
    </row>
    <row r="698" spans="1:8" s="191" customFormat="1" ht="15.75" hidden="1" x14ac:dyDescent="0.25">
      <c r="A698" s="31" t="s">
        <v>274</v>
      </c>
      <c r="B698" s="20" t="s">
        <v>264</v>
      </c>
      <c r="C698" s="20" t="s">
        <v>213</v>
      </c>
      <c r="D698" s="20" t="s">
        <v>934</v>
      </c>
      <c r="E698" s="20" t="s">
        <v>275</v>
      </c>
      <c r="F698" s="6">
        <f>'Пр.4 ведом.21'!G783</f>
        <v>0</v>
      </c>
      <c r="G698" s="389">
        <f>'Пр.4 ведом.21'!H783</f>
        <v>0</v>
      </c>
      <c r="H698" s="389" t="e">
        <f t="shared" si="119"/>
        <v>#DIV/0!</v>
      </c>
    </row>
    <row r="699" spans="1:8" ht="47.25" x14ac:dyDescent="0.25">
      <c r="A699" s="400" t="s">
        <v>1351</v>
      </c>
      <c r="B699" s="24" t="s">
        <v>264</v>
      </c>
      <c r="C699" s="24" t="s">
        <v>213</v>
      </c>
      <c r="D699" s="24" t="s">
        <v>705</v>
      </c>
      <c r="E699" s="206"/>
      <c r="F699" s="4">
        <f t="shared" ref="F699:G700" si="131">F700</f>
        <v>837</v>
      </c>
      <c r="G699" s="388">
        <f t="shared" si="131"/>
        <v>784.38300000000004</v>
      </c>
      <c r="H699" s="492">
        <f t="shared" si="119"/>
        <v>93.713620071684588</v>
      </c>
    </row>
    <row r="700" spans="1:8" ht="47.25" x14ac:dyDescent="0.25">
      <c r="A700" s="400" t="s">
        <v>889</v>
      </c>
      <c r="B700" s="24" t="s">
        <v>264</v>
      </c>
      <c r="C700" s="24" t="s">
        <v>213</v>
      </c>
      <c r="D700" s="24" t="s">
        <v>887</v>
      </c>
      <c r="E700" s="206"/>
      <c r="F700" s="4">
        <f t="shared" si="131"/>
        <v>837</v>
      </c>
      <c r="G700" s="388">
        <f t="shared" si="131"/>
        <v>784.38300000000004</v>
      </c>
      <c r="H700" s="492">
        <f t="shared" si="119"/>
        <v>93.713620071684588</v>
      </c>
    </row>
    <row r="701" spans="1:8" ht="47.25" x14ac:dyDescent="0.25">
      <c r="A701" s="98" t="s">
        <v>780</v>
      </c>
      <c r="B701" s="20" t="s">
        <v>264</v>
      </c>
      <c r="C701" s="20" t="s">
        <v>213</v>
      </c>
      <c r="D701" s="20" t="s">
        <v>935</v>
      </c>
      <c r="E701" s="32"/>
      <c r="F701" s="6">
        <f>F702</f>
        <v>837</v>
      </c>
      <c r="G701" s="389">
        <f>G702</f>
        <v>784.38300000000004</v>
      </c>
      <c r="H701" s="389">
        <f t="shared" si="119"/>
        <v>93.713620071684588</v>
      </c>
    </row>
    <row r="702" spans="1:8" ht="36.75" customHeight="1" x14ac:dyDescent="0.25">
      <c r="A702" s="29" t="s">
        <v>272</v>
      </c>
      <c r="B702" s="20" t="s">
        <v>264</v>
      </c>
      <c r="C702" s="20" t="s">
        <v>213</v>
      </c>
      <c r="D702" s="20" t="s">
        <v>935</v>
      </c>
      <c r="E702" s="32" t="s">
        <v>273</v>
      </c>
      <c r="F702" s="6">
        <f t="shared" ref="F702:G702" si="132">F703</f>
        <v>837</v>
      </c>
      <c r="G702" s="389">
        <f t="shared" si="132"/>
        <v>784.38300000000004</v>
      </c>
      <c r="H702" s="389">
        <f t="shared" si="119"/>
        <v>93.713620071684588</v>
      </c>
    </row>
    <row r="703" spans="1:8" ht="15.75" x14ac:dyDescent="0.25">
      <c r="A703" s="180" t="s">
        <v>274</v>
      </c>
      <c r="B703" s="20" t="s">
        <v>264</v>
      </c>
      <c r="C703" s="20" t="s">
        <v>213</v>
      </c>
      <c r="D703" s="20" t="s">
        <v>935</v>
      </c>
      <c r="E703" s="32" t="s">
        <v>275</v>
      </c>
      <c r="F703" s="6">
        <f>'Пр.4 ведом.21'!G788</f>
        <v>837</v>
      </c>
      <c r="G703" s="389">
        <f>'Пр.4 ведом.21'!H788</f>
        <v>784.38300000000004</v>
      </c>
      <c r="H703" s="389">
        <f t="shared" si="119"/>
        <v>93.713620071684588</v>
      </c>
    </row>
    <row r="704" spans="1:8" ht="15.75" x14ac:dyDescent="0.25">
      <c r="A704" s="400" t="s">
        <v>265</v>
      </c>
      <c r="B704" s="7" t="s">
        <v>264</v>
      </c>
      <c r="C704" s="7" t="s">
        <v>215</v>
      </c>
      <c r="D704" s="24"/>
      <c r="E704" s="7"/>
      <c r="F704" s="4">
        <f>F705+F738+F781+F776</f>
        <v>61388.770000000011</v>
      </c>
      <c r="G704" s="388">
        <f>G705+G738+G781+G776</f>
        <v>57075.885999999999</v>
      </c>
      <c r="H704" s="492">
        <f t="shared" si="119"/>
        <v>92.974473995813881</v>
      </c>
    </row>
    <row r="705" spans="1:8" ht="39.75" customHeight="1" x14ac:dyDescent="0.25">
      <c r="A705" s="394" t="s">
        <v>1357</v>
      </c>
      <c r="B705" s="24" t="s">
        <v>264</v>
      </c>
      <c r="C705" s="24" t="s">
        <v>215</v>
      </c>
      <c r="D705" s="24" t="s">
        <v>406</v>
      </c>
      <c r="E705" s="24"/>
      <c r="F705" s="4">
        <f>F706+F716+F730+F734</f>
        <v>42498.950000000012</v>
      </c>
      <c r="G705" s="388">
        <f>G706+G716+G730+G734</f>
        <v>39149.53</v>
      </c>
      <c r="H705" s="492">
        <f t="shared" si="119"/>
        <v>92.118817053127174</v>
      </c>
    </row>
    <row r="706" spans="1:8" ht="31.5" x14ac:dyDescent="0.25">
      <c r="A706" s="394" t="s">
        <v>936</v>
      </c>
      <c r="B706" s="24" t="s">
        <v>264</v>
      </c>
      <c r="C706" s="24" t="s">
        <v>215</v>
      </c>
      <c r="D706" s="24" t="s">
        <v>1228</v>
      </c>
      <c r="E706" s="24"/>
      <c r="F706" s="4">
        <f>F707+F713+F710</f>
        <v>38831.025000000009</v>
      </c>
      <c r="G706" s="388">
        <f>G707+G713+G710</f>
        <v>36164.381999999998</v>
      </c>
      <c r="H706" s="492">
        <f t="shared" si="119"/>
        <v>93.132699948044092</v>
      </c>
    </row>
    <row r="707" spans="1:8" ht="47.25" x14ac:dyDescent="0.25">
      <c r="A707" s="396" t="s">
        <v>270</v>
      </c>
      <c r="B707" s="20" t="s">
        <v>264</v>
      </c>
      <c r="C707" s="20" t="s">
        <v>215</v>
      </c>
      <c r="D707" s="20" t="s">
        <v>1258</v>
      </c>
      <c r="E707" s="20"/>
      <c r="F707" s="6">
        <f t="shared" ref="F707:G707" si="133">F708</f>
        <v>14825.625</v>
      </c>
      <c r="G707" s="389">
        <f t="shared" si="133"/>
        <v>14825.625</v>
      </c>
      <c r="H707" s="389">
        <f t="shared" si="119"/>
        <v>100</v>
      </c>
    </row>
    <row r="708" spans="1:8" ht="40.700000000000003" customHeight="1" x14ac:dyDescent="0.25">
      <c r="A708" s="396" t="s">
        <v>272</v>
      </c>
      <c r="B708" s="20" t="s">
        <v>264</v>
      </c>
      <c r="C708" s="20" t="s">
        <v>215</v>
      </c>
      <c r="D708" s="20" t="s">
        <v>1258</v>
      </c>
      <c r="E708" s="20" t="s">
        <v>273</v>
      </c>
      <c r="F708" s="6">
        <f>'Пр.4 ведом.21'!G794</f>
        <v>14825.625</v>
      </c>
      <c r="G708" s="389">
        <f>'Пр.4 ведом.21'!H794</f>
        <v>14825.625</v>
      </c>
      <c r="H708" s="389">
        <f t="shared" si="119"/>
        <v>100</v>
      </c>
    </row>
    <row r="709" spans="1:8" ht="15.75" x14ac:dyDescent="0.25">
      <c r="A709" s="396" t="s">
        <v>274</v>
      </c>
      <c r="B709" s="20" t="s">
        <v>264</v>
      </c>
      <c r="C709" s="20" t="s">
        <v>215</v>
      </c>
      <c r="D709" s="20" t="s">
        <v>1258</v>
      </c>
      <c r="E709" s="20" t="s">
        <v>275</v>
      </c>
      <c r="F709" s="6">
        <f>'Пр.4 ведом.21'!G794</f>
        <v>14825.625</v>
      </c>
      <c r="G709" s="389">
        <f>'Пр.4 ведом.21'!H794</f>
        <v>14825.625</v>
      </c>
      <c r="H709" s="389">
        <f t="shared" si="119"/>
        <v>100</v>
      </c>
    </row>
    <row r="710" spans="1:8" s="387" customFormat="1" ht="47.25" x14ac:dyDescent="0.25">
      <c r="A710" s="396" t="s">
        <v>1660</v>
      </c>
      <c r="B710" s="392" t="s">
        <v>264</v>
      </c>
      <c r="C710" s="392" t="s">
        <v>215</v>
      </c>
      <c r="D710" s="392" t="s">
        <v>1664</v>
      </c>
      <c r="E710" s="392"/>
      <c r="F710" s="389">
        <f>F711</f>
        <v>267.8</v>
      </c>
      <c r="G710" s="389">
        <f>G711</f>
        <v>267.8</v>
      </c>
      <c r="H710" s="389">
        <f t="shared" si="119"/>
        <v>100</v>
      </c>
    </row>
    <row r="711" spans="1:8" s="387" customFormat="1" ht="31.5" x14ac:dyDescent="0.25">
      <c r="A711" s="396" t="s">
        <v>272</v>
      </c>
      <c r="B711" s="392" t="s">
        <v>264</v>
      </c>
      <c r="C711" s="392" t="s">
        <v>215</v>
      </c>
      <c r="D711" s="392" t="s">
        <v>1664</v>
      </c>
      <c r="E711" s="392" t="s">
        <v>273</v>
      </c>
      <c r="F711" s="389">
        <f>F712</f>
        <v>267.8</v>
      </c>
      <c r="G711" s="389">
        <f>G712</f>
        <v>267.8</v>
      </c>
      <c r="H711" s="389">
        <f t="shared" si="119"/>
        <v>100</v>
      </c>
    </row>
    <row r="712" spans="1:8" s="387" customFormat="1" ht="15.75" x14ac:dyDescent="0.25">
      <c r="A712" s="396" t="s">
        <v>274</v>
      </c>
      <c r="B712" s="392" t="s">
        <v>264</v>
      </c>
      <c r="C712" s="392" t="s">
        <v>215</v>
      </c>
      <c r="D712" s="392" t="s">
        <v>1664</v>
      </c>
      <c r="E712" s="392" t="s">
        <v>275</v>
      </c>
      <c r="F712" s="389">
        <f>'Пр.4 ведом.21'!G797</f>
        <v>267.8</v>
      </c>
      <c r="G712" s="389">
        <f>'Пр.4 ведом.21'!H797</f>
        <v>267.8</v>
      </c>
      <c r="H712" s="389">
        <f t="shared" si="119"/>
        <v>100</v>
      </c>
    </row>
    <row r="713" spans="1:8" s="191" customFormat="1" ht="31.5" x14ac:dyDescent="0.25">
      <c r="A713" s="31" t="s">
        <v>1490</v>
      </c>
      <c r="B713" s="20" t="s">
        <v>264</v>
      </c>
      <c r="C713" s="20" t="s">
        <v>215</v>
      </c>
      <c r="D713" s="20" t="s">
        <v>1489</v>
      </c>
      <c r="E713" s="20"/>
      <c r="F713" s="6">
        <f>F714</f>
        <v>23737.600000000002</v>
      </c>
      <c r="G713" s="389">
        <f>G714</f>
        <v>21070.956999999999</v>
      </c>
      <c r="H713" s="389">
        <f t="shared" ref="H713:H776" si="134">G713/F713*100</f>
        <v>88.766164228902653</v>
      </c>
    </row>
    <row r="714" spans="1:8" s="191" customFormat="1" ht="31.5" x14ac:dyDescent="0.25">
      <c r="A714" s="396" t="s">
        <v>272</v>
      </c>
      <c r="B714" s="20" t="s">
        <v>264</v>
      </c>
      <c r="C714" s="20" t="s">
        <v>215</v>
      </c>
      <c r="D714" s="20" t="s">
        <v>1489</v>
      </c>
      <c r="E714" s="20" t="s">
        <v>273</v>
      </c>
      <c r="F714" s="6">
        <f>F715</f>
        <v>23737.600000000002</v>
      </c>
      <c r="G714" s="389">
        <f>G715</f>
        <v>21070.956999999999</v>
      </c>
      <c r="H714" s="389">
        <f t="shared" si="134"/>
        <v>88.766164228902653</v>
      </c>
    </row>
    <row r="715" spans="1:8" s="191" customFormat="1" ht="15.75" x14ac:dyDescent="0.25">
      <c r="A715" s="31" t="s">
        <v>274</v>
      </c>
      <c r="B715" s="20" t="s">
        <v>264</v>
      </c>
      <c r="C715" s="20" t="s">
        <v>215</v>
      </c>
      <c r="D715" s="20" t="s">
        <v>1489</v>
      </c>
      <c r="E715" s="20" t="s">
        <v>273</v>
      </c>
      <c r="F715" s="6">
        <f>'Пр.4 ведом.21'!G800</f>
        <v>23737.600000000002</v>
      </c>
      <c r="G715" s="389">
        <f>'Пр.4 ведом.21'!H800</f>
        <v>21070.956999999999</v>
      </c>
      <c r="H715" s="389">
        <f t="shared" si="134"/>
        <v>88.766164228902653</v>
      </c>
    </row>
    <row r="716" spans="1:8" ht="47.25" x14ac:dyDescent="0.25">
      <c r="A716" s="394" t="s">
        <v>899</v>
      </c>
      <c r="B716" s="24" t="s">
        <v>264</v>
      </c>
      <c r="C716" s="24" t="s">
        <v>215</v>
      </c>
      <c r="D716" s="24" t="s">
        <v>1230</v>
      </c>
      <c r="E716" s="24"/>
      <c r="F716" s="4">
        <f>F720+F723+F717</f>
        <v>2243</v>
      </c>
      <c r="G716" s="388">
        <f>G720+G723+G717</f>
        <v>1908.8240000000001</v>
      </c>
      <c r="H716" s="492">
        <f t="shared" si="134"/>
        <v>85.101382077574684</v>
      </c>
    </row>
    <row r="717" spans="1:8" s="191" customFormat="1" ht="94.5" x14ac:dyDescent="0.25">
      <c r="A717" s="31" t="s">
        <v>293</v>
      </c>
      <c r="B717" s="20" t="s">
        <v>264</v>
      </c>
      <c r="C717" s="20" t="s">
        <v>215</v>
      </c>
      <c r="D717" s="20" t="s">
        <v>1389</v>
      </c>
      <c r="E717" s="20"/>
      <c r="F717" s="6">
        <f>F718</f>
        <v>1400</v>
      </c>
      <c r="G717" s="389">
        <f>G718</f>
        <v>1296</v>
      </c>
      <c r="H717" s="389">
        <f t="shared" si="134"/>
        <v>92.571428571428569</v>
      </c>
    </row>
    <row r="718" spans="1:8" s="191" customFormat="1" ht="31.5" x14ac:dyDescent="0.25">
      <c r="A718" s="396" t="s">
        <v>272</v>
      </c>
      <c r="B718" s="20" t="s">
        <v>264</v>
      </c>
      <c r="C718" s="20" t="s">
        <v>215</v>
      </c>
      <c r="D718" s="20" t="s">
        <v>1389</v>
      </c>
      <c r="E718" s="20" t="s">
        <v>273</v>
      </c>
      <c r="F718" s="6">
        <f t="shared" ref="F718:G718" si="135">F719</f>
        <v>1400</v>
      </c>
      <c r="G718" s="389">
        <f t="shared" si="135"/>
        <v>1296</v>
      </c>
      <c r="H718" s="389">
        <f t="shared" si="134"/>
        <v>92.571428571428569</v>
      </c>
    </row>
    <row r="719" spans="1:8" s="191" customFormat="1" ht="15.75" x14ac:dyDescent="0.25">
      <c r="A719" s="396" t="s">
        <v>274</v>
      </c>
      <c r="B719" s="20" t="s">
        <v>264</v>
      </c>
      <c r="C719" s="20" t="s">
        <v>215</v>
      </c>
      <c r="D719" s="20" t="s">
        <v>1389</v>
      </c>
      <c r="E719" s="20" t="s">
        <v>275</v>
      </c>
      <c r="F719" s="6">
        <f>'Пр.4 ведом.21'!G804</f>
        <v>1400</v>
      </c>
      <c r="G719" s="389">
        <f>'Пр.4 ведом.21'!H804</f>
        <v>1296</v>
      </c>
      <c r="H719" s="389">
        <f t="shared" si="134"/>
        <v>92.571428571428569</v>
      </c>
    </row>
    <row r="720" spans="1:8" ht="63" x14ac:dyDescent="0.25">
      <c r="A720" s="31" t="s">
        <v>289</v>
      </c>
      <c r="B720" s="20" t="s">
        <v>264</v>
      </c>
      <c r="C720" s="20" t="s">
        <v>215</v>
      </c>
      <c r="D720" s="20" t="s">
        <v>1231</v>
      </c>
      <c r="E720" s="20"/>
      <c r="F720" s="6">
        <f t="shared" ref="F720:G720" si="136">F721</f>
        <v>179</v>
      </c>
      <c r="G720" s="389">
        <f t="shared" si="136"/>
        <v>55.732999999999997</v>
      </c>
      <c r="H720" s="389">
        <f t="shared" si="134"/>
        <v>31.13575418994413</v>
      </c>
    </row>
    <row r="721" spans="1:8" ht="31.5" x14ac:dyDescent="0.25">
      <c r="A721" s="396" t="s">
        <v>272</v>
      </c>
      <c r="B721" s="20" t="s">
        <v>264</v>
      </c>
      <c r="C721" s="20" t="s">
        <v>215</v>
      </c>
      <c r="D721" s="20" t="s">
        <v>1231</v>
      </c>
      <c r="E721" s="20" t="s">
        <v>273</v>
      </c>
      <c r="F721" s="6">
        <f>F722</f>
        <v>179</v>
      </c>
      <c r="G721" s="389">
        <f>G722</f>
        <v>55.732999999999997</v>
      </c>
      <c r="H721" s="389">
        <f t="shared" si="134"/>
        <v>31.13575418994413</v>
      </c>
    </row>
    <row r="722" spans="1:8" ht="15.75" x14ac:dyDescent="0.25">
      <c r="A722" s="396" t="s">
        <v>274</v>
      </c>
      <c r="B722" s="20" t="s">
        <v>264</v>
      </c>
      <c r="C722" s="20" t="s">
        <v>215</v>
      </c>
      <c r="D722" s="20" t="s">
        <v>1231</v>
      </c>
      <c r="E722" s="20" t="s">
        <v>275</v>
      </c>
      <c r="F722" s="6">
        <f>'Пр.4 ведом.21'!G807</f>
        <v>179</v>
      </c>
      <c r="G722" s="389">
        <f>'Пр.4 ведом.21'!H807</f>
        <v>55.732999999999997</v>
      </c>
      <c r="H722" s="389">
        <f t="shared" si="134"/>
        <v>31.13575418994413</v>
      </c>
    </row>
    <row r="723" spans="1:8" ht="63" x14ac:dyDescent="0.25">
      <c r="A723" s="31" t="s">
        <v>291</v>
      </c>
      <c r="B723" s="20" t="s">
        <v>264</v>
      </c>
      <c r="C723" s="20" t="s">
        <v>215</v>
      </c>
      <c r="D723" s="20" t="s">
        <v>1232</v>
      </c>
      <c r="E723" s="20"/>
      <c r="F723" s="6">
        <f t="shared" ref="F723:G723" si="137">F724</f>
        <v>664</v>
      </c>
      <c r="G723" s="389">
        <f t="shared" si="137"/>
        <v>557.09100000000001</v>
      </c>
      <c r="H723" s="389">
        <f t="shared" si="134"/>
        <v>83.899246987951798</v>
      </c>
    </row>
    <row r="724" spans="1:8" ht="31.5" x14ac:dyDescent="0.25">
      <c r="A724" s="396" t="s">
        <v>272</v>
      </c>
      <c r="B724" s="20" t="s">
        <v>264</v>
      </c>
      <c r="C724" s="20" t="s">
        <v>215</v>
      </c>
      <c r="D724" s="20" t="s">
        <v>1232</v>
      </c>
      <c r="E724" s="20" t="s">
        <v>273</v>
      </c>
      <c r="F724" s="6">
        <f>F725</f>
        <v>664</v>
      </c>
      <c r="G724" s="389">
        <f>G725</f>
        <v>557.09100000000001</v>
      </c>
      <c r="H724" s="389">
        <f t="shared" si="134"/>
        <v>83.899246987951798</v>
      </c>
    </row>
    <row r="725" spans="1:8" ht="15.75" x14ac:dyDescent="0.25">
      <c r="A725" s="396" t="s">
        <v>274</v>
      </c>
      <c r="B725" s="20" t="s">
        <v>264</v>
      </c>
      <c r="C725" s="20" t="s">
        <v>215</v>
      </c>
      <c r="D725" s="20" t="s">
        <v>1232</v>
      </c>
      <c r="E725" s="20" t="s">
        <v>275</v>
      </c>
      <c r="F725" s="6">
        <f>'Пр.4 ведом.21'!G810</f>
        <v>664</v>
      </c>
      <c r="G725" s="389">
        <f>'Пр.4 ведом.21'!H810</f>
        <v>557.09100000000001</v>
      </c>
      <c r="H725" s="389">
        <f t="shared" si="134"/>
        <v>83.899246987951798</v>
      </c>
    </row>
    <row r="726" spans="1:8" ht="31.7" hidden="1" customHeight="1" x14ac:dyDescent="0.25">
      <c r="A726" s="394" t="s">
        <v>1250</v>
      </c>
      <c r="B726" s="24" t="s">
        <v>264</v>
      </c>
      <c r="C726" s="24" t="s">
        <v>215</v>
      </c>
      <c r="D726" s="24" t="s">
        <v>1235</v>
      </c>
      <c r="E726" s="24"/>
      <c r="F726" s="4">
        <f t="shared" ref="F726:G728" si="138">F727</f>
        <v>0</v>
      </c>
      <c r="G726" s="388">
        <f t="shared" si="138"/>
        <v>0</v>
      </c>
      <c r="H726" s="389" t="e">
        <f t="shared" si="134"/>
        <v>#DIV/0!</v>
      </c>
    </row>
    <row r="727" spans="1:8" ht="35.450000000000003" hidden="1" customHeight="1" x14ac:dyDescent="0.25">
      <c r="A727" s="45" t="s">
        <v>766</v>
      </c>
      <c r="B727" s="20" t="s">
        <v>264</v>
      </c>
      <c r="C727" s="20" t="s">
        <v>215</v>
      </c>
      <c r="D727" s="20" t="s">
        <v>1327</v>
      </c>
      <c r="E727" s="20"/>
      <c r="F727" s="6">
        <f t="shared" si="138"/>
        <v>0</v>
      </c>
      <c r="G727" s="389">
        <f t="shared" si="138"/>
        <v>0</v>
      </c>
      <c r="H727" s="389" t="e">
        <f t="shared" si="134"/>
        <v>#DIV/0!</v>
      </c>
    </row>
    <row r="728" spans="1:8" ht="39.75" hidden="1" customHeight="1" x14ac:dyDescent="0.25">
      <c r="A728" s="31" t="s">
        <v>272</v>
      </c>
      <c r="B728" s="20" t="s">
        <v>264</v>
      </c>
      <c r="C728" s="20" t="s">
        <v>215</v>
      </c>
      <c r="D728" s="20" t="s">
        <v>1327</v>
      </c>
      <c r="E728" s="20" t="s">
        <v>273</v>
      </c>
      <c r="F728" s="6">
        <f t="shared" si="138"/>
        <v>0</v>
      </c>
      <c r="G728" s="389">
        <f t="shared" si="138"/>
        <v>0</v>
      </c>
      <c r="H728" s="389" t="e">
        <f t="shared" si="134"/>
        <v>#DIV/0!</v>
      </c>
    </row>
    <row r="729" spans="1:8" ht="19.5" hidden="1" customHeight="1" x14ac:dyDescent="0.25">
      <c r="A729" s="31" t="s">
        <v>274</v>
      </c>
      <c r="B729" s="20" t="s">
        <v>264</v>
      </c>
      <c r="C729" s="20" t="s">
        <v>215</v>
      </c>
      <c r="D729" s="20" t="s">
        <v>1327</v>
      </c>
      <c r="E729" s="20" t="s">
        <v>275</v>
      </c>
      <c r="F729" s="6">
        <f>'Пр.4 ведом.21'!G814</f>
        <v>0</v>
      </c>
      <c r="G729" s="389">
        <f>'Пр.4 ведом.21'!H814</f>
        <v>0</v>
      </c>
      <c r="H729" s="389" t="e">
        <f t="shared" si="134"/>
        <v>#DIV/0!</v>
      </c>
    </row>
    <row r="730" spans="1:8" ht="33" customHeight="1" x14ac:dyDescent="0.25">
      <c r="A730" s="203" t="s">
        <v>947</v>
      </c>
      <c r="B730" s="24" t="s">
        <v>264</v>
      </c>
      <c r="C730" s="24" t="s">
        <v>215</v>
      </c>
      <c r="D730" s="24" t="s">
        <v>1238</v>
      </c>
      <c r="E730" s="24"/>
      <c r="F730" s="4">
        <f>F731</f>
        <v>1100</v>
      </c>
      <c r="G730" s="388">
        <f>G731</f>
        <v>1076.3240000000001</v>
      </c>
      <c r="H730" s="492">
        <f t="shared" si="134"/>
        <v>97.847636363636369</v>
      </c>
    </row>
    <row r="731" spans="1:8" ht="38.1" customHeight="1" x14ac:dyDescent="0.25">
      <c r="A731" s="45" t="s">
        <v>764</v>
      </c>
      <c r="B731" s="20" t="s">
        <v>264</v>
      </c>
      <c r="C731" s="20" t="s">
        <v>215</v>
      </c>
      <c r="D731" s="20" t="s">
        <v>1239</v>
      </c>
      <c r="E731" s="20"/>
      <c r="F731" s="6">
        <f>F732</f>
        <v>1100</v>
      </c>
      <c r="G731" s="389">
        <f>G732</f>
        <v>1076.3240000000001</v>
      </c>
      <c r="H731" s="389">
        <f t="shared" si="134"/>
        <v>97.847636363636369</v>
      </c>
    </row>
    <row r="732" spans="1:8" ht="31.5" x14ac:dyDescent="0.25">
      <c r="A732" s="396" t="s">
        <v>272</v>
      </c>
      <c r="B732" s="20" t="s">
        <v>264</v>
      </c>
      <c r="C732" s="20" t="s">
        <v>215</v>
      </c>
      <c r="D732" s="20" t="s">
        <v>1239</v>
      </c>
      <c r="E732" s="20" t="s">
        <v>273</v>
      </c>
      <c r="F732" s="6">
        <f t="shared" ref="F732:G732" si="139">F733</f>
        <v>1100</v>
      </c>
      <c r="G732" s="389">
        <f t="shared" si="139"/>
        <v>1076.3240000000001</v>
      </c>
      <c r="H732" s="389">
        <f t="shared" si="134"/>
        <v>97.847636363636369</v>
      </c>
    </row>
    <row r="733" spans="1:8" ht="15.75" x14ac:dyDescent="0.25">
      <c r="A733" s="31" t="s">
        <v>274</v>
      </c>
      <c r="B733" s="20" t="s">
        <v>264</v>
      </c>
      <c r="C733" s="20" t="s">
        <v>215</v>
      </c>
      <c r="D733" s="20" t="s">
        <v>1239</v>
      </c>
      <c r="E733" s="20" t="s">
        <v>275</v>
      </c>
      <c r="F733" s="6">
        <f>'Пр.4 ведом.21'!G818</f>
        <v>1100</v>
      </c>
      <c r="G733" s="389">
        <f>'Пр.4 ведом.21'!H818</f>
        <v>1076.3240000000001</v>
      </c>
      <c r="H733" s="389">
        <f t="shared" si="134"/>
        <v>97.847636363636369</v>
      </c>
    </row>
    <row r="734" spans="1:8" s="387" customFormat="1" ht="47.25" x14ac:dyDescent="0.25">
      <c r="A734" s="34" t="s">
        <v>1639</v>
      </c>
      <c r="B734" s="395" t="s">
        <v>264</v>
      </c>
      <c r="C734" s="395" t="s">
        <v>215</v>
      </c>
      <c r="D734" s="395" t="s">
        <v>1640</v>
      </c>
      <c r="E734" s="395"/>
      <c r="F734" s="388">
        <f t="shared" ref="F734:G736" si="140">F735</f>
        <v>324.92500000000001</v>
      </c>
      <c r="G734" s="388">
        <f t="shared" si="140"/>
        <v>0</v>
      </c>
      <c r="H734" s="492">
        <f t="shared" si="134"/>
        <v>0</v>
      </c>
    </row>
    <row r="735" spans="1:8" s="387" customFormat="1" ht="47.25" x14ac:dyDescent="0.25">
      <c r="A735" s="31" t="s">
        <v>1653</v>
      </c>
      <c r="B735" s="392" t="s">
        <v>264</v>
      </c>
      <c r="C735" s="392" t="s">
        <v>215</v>
      </c>
      <c r="D735" s="392" t="s">
        <v>1641</v>
      </c>
      <c r="E735" s="392"/>
      <c r="F735" s="389">
        <f t="shared" si="140"/>
        <v>324.92500000000001</v>
      </c>
      <c r="G735" s="389">
        <f t="shared" si="140"/>
        <v>0</v>
      </c>
      <c r="H735" s="389">
        <f t="shared" si="134"/>
        <v>0</v>
      </c>
    </row>
    <row r="736" spans="1:8" s="387" customFormat="1" ht="31.5" x14ac:dyDescent="0.25">
      <c r="A736" s="396" t="s">
        <v>272</v>
      </c>
      <c r="B736" s="392" t="s">
        <v>264</v>
      </c>
      <c r="C736" s="392" t="s">
        <v>215</v>
      </c>
      <c r="D736" s="392" t="s">
        <v>1641</v>
      </c>
      <c r="E736" s="392" t="s">
        <v>273</v>
      </c>
      <c r="F736" s="389">
        <f t="shared" si="140"/>
        <v>324.92500000000001</v>
      </c>
      <c r="G736" s="389">
        <f t="shared" si="140"/>
        <v>0</v>
      </c>
      <c r="H736" s="389">
        <f t="shared" si="134"/>
        <v>0</v>
      </c>
    </row>
    <row r="737" spans="1:8" s="387" customFormat="1" ht="31.5" x14ac:dyDescent="0.25">
      <c r="A737" s="31" t="s">
        <v>1642</v>
      </c>
      <c r="B737" s="392" t="s">
        <v>264</v>
      </c>
      <c r="C737" s="392" t="s">
        <v>215</v>
      </c>
      <c r="D737" s="392" t="s">
        <v>1641</v>
      </c>
      <c r="E737" s="392" t="s">
        <v>1643</v>
      </c>
      <c r="F737" s="389">
        <f>'Пр.4 ведом.21'!G822</f>
        <v>324.92500000000001</v>
      </c>
      <c r="G737" s="389">
        <f>'Пр.4 ведом.21'!H822</f>
        <v>0</v>
      </c>
      <c r="H737" s="389">
        <f t="shared" si="134"/>
        <v>0</v>
      </c>
    </row>
    <row r="738" spans="1:8" s="191" customFormat="1" ht="34.5" customHeight="1" x14ac:dyDescent="0.25">
      <c r="A738" s="394" t="s">
        <v>1366</v>
      </c>
      <c r="B738" s="24" t="s">
        <v>264</v>
      </c>
      <c r="C738" s="24" t="s">
        <v>215</v>
      </c>
      <c r="D738" s="24" t="s">
        <v>267</v>
      </c>
      <c r="E738" s="24"/>
      <c r="F738" s="4">
        <f>F739+F753+F762+F766</f>
        <v>18089.620000000003</v>
      </c>
      <c r="G738" s="388">
        <f>G739+G753+G762+G766</f>
        <v>17129.492999999999</v>
      </c>
      <c r="H738" s="492">
        <f t="shared" si="134"/>
        <v>94.692387125876593</v>
      </c>
    </row>
    <row r="739" spans="1:8" s="191" customFormat="1" ht="36" customHeight="1" x14ac:dyDescent="0.25">
      <c r="A739" s="394" t="s">
        <v>1297</v>
      </c>
      <c r="B739" s="24" t="s">
        <v>264</v>
      </c>
      <c r="C739" s="24" t="s">
        <v>215</v>
      </c>
      <c r="D739" s="24" t="s">
        <v>1201</v>
      </c>
      <c r="E739" s="24"/>
      <c r="F739" s="4">
        <f>F740+F750+F747</f>
        <v>16445.52</v>
      </c>
      <c r="G739" s="388">
        <f>G740+G750+G747</f>
        <v>15891.780999999999</v>
      </c>
      <c r="H739" s="492">
        <f t="shared" si="134"/>
        <v>96.632888470537864</v>
      </c>
    </row>
    <row r="740" spans="1:8" s="191" customFormat="1" ht="15.75" x14ac:dyDescent="0.25">
      <c r="A740" s="396" t="s">
        <v>800</v>
      </c>
      <c r="B740" s="20" t="s">
        <v>264</v>
      </c>
      <c r="C740" s="20" t="s">
        <v>215</v>
      </c>
      <c r="D740" s="20" t="s">
        <v>1202</v>
      </c>
      <c r="E740" s="20"/>
      <c r="F740" s="6">
        <f>F741+F743+F745</f>
        <v>8029.82</v>
      </c>
      <c r="G740" s="389">
        <f>G741+G743+G745</f>
        <v>7943.8429999999998</v>
      </c>
      <c r="H740" s="389">
        <f t="shared" si="134"/>
        <v>98.929278613966446</v>
      </c>
    </row>
    <row r="741" spans="1:8" s="191" customFormat="1" ht="78.75" x14ac:dyDescent="0.25">
      <c r="A741" s="396" t="s">
        <v>127</v>
      </c>
      <c r="B741" s="20" t="s">
        <v>264</v>
      </c>
      <c r="C741" s="20" t="s">
        <v>215</v>
      </c>
      <c r="D741" s="20" t="s">
        <v>1202</v>
      </c>
      <c r="E741" s="20" t="s">
        <v>128</v>
      </c>
      <c r="F741" s="6">
        <f>F742</f>
        <v>6013.12</v>
      </c>
      <c r="G741" s="389">
        <f>G742</f>
        <v>6013.0259999999998</v>
      </c>
      <c r="H741" s="389">
        <f t="shared" si="134"/>
        <v>99.998436751636419</v>
      </c>
    </row>
    <row r="742" spans="1:8" s="191" customFormat="1" ht="21.2" customHeight="1" x14ac:dyDescent="0.25">
      <c r="A742" s="46" t="s">
        <v>342</v>
      </c>
      <c r="B742" s="20" t="s">
        <v>264</v>
      </c>
      <c r="C742" s="20" t="s">
        <v>215</v>
      </c>
      <c r="D742" s="20" t="s">
        <v>1202</v>
      </c>
      <c r="E742" s="20" t="s">
        <v>209</v>
      </c>
      <c r="F742" s="6">
        <f>'Пр.4 ведом.21'!G324</f>
        <v>6013.12</v>
      </c>
      <c r="G742" s="389">
        <f>'Пр.4 ведом.21'!H324</f>
        <v>6013.0259999999998</v>
      </c>
      <c r="H742" s="389">
        <f t="shared" si="134"/>
        <v>99.998436751636419</v>
      </c>
    </row>
    <row r="743" spans="1:8" s="191" customFormat="1" ht="31.5" x14ac:dyDescent="0.25">
      <c r="A743" s="396" t="s">
        <v>131</v>
      </c>
      <c r="B743" s="20" t="s">
        <v>264</v>
      </c>
      <c r="C743" s="20" t="s">
        <v>215</v>
      </c>
      <c r="D743" s="20" t="s">
        <v>1202</v>
      </c>
      <c r="E743" s="20" t="s">
        <v>132</v>
      </c>
      <c r="F743" s="6">
        <f>F744</f>
        <v>1962.3</v>
      </c>
      <c r="G743" s="389">
        <f>G744</f>
        <v>1876.451</v>
      </c>
      <c r="H743" s="389">
        <f t="shared" si="134"/>
        <v>95.625082810987109</v>
      </c>
    </row>
    <row r="744" spans="1:8" s="191" customFormat="1" ht="31.5" x14ac:dyDescent="0.25">
      <c r="A744" s="396" t="s">
        <v>133</v>
      </c>
      <c r="B744" s="20" t="s">
        <v>264</v>
      </c>
      <c r="C744" s="20" t="s">
        <v>215</v>
      </c>
      <c r="D744" s="20" t="s">
        <v>1202</v>
      </c>
      <c r="E744" s="20" t="s">
        <v>134</v>
      </c>
      <c r="F744" s="6">
        <f>'Пр.4 ведом.21'!G326</f>
        <v>1962.3</v>
      </c>
      <c r="G744" s="389">
        <f>'Пр.4 ведом.21'!H326</f>
        <v>1876.451</v>
      </c>
      <c r="H744" s="389">
        <f t="shared" si="134"/>
        <v>95.625082810987109</v>
      </c>
    </row>
    <row r="745" spans="1:8" s="191" customFormat="1" ht="15.75" x14ac:dyDescent="0.25">
      <c r="A745" s="396" t="s">
        <v>135</v>
      </c>
      <c r="B745" s="20" t="s">
        <v>264</v>
      </c>
      <c r="C745" s="20" t="s">
        <v>215</v>
      </c>
      <c r="D745" s="20" t="s">
        <v>1202</v>
      </c>
      <c r="E745" s="20" t="s">
        <v>145</v>
      </c>
      <c r="F745" s="6">
        <f>F746</f>
        <v>54.400000000000006</v>
      </c>
      <c r="G745" s="389">
        <f>G746</f>
        <v>54.366</v>
      </c>
      <c r="H745" s="389">
        <f t="shared" si="134"/>
        <v>99.937499999999986</v>
      </c>
    </row>
    <row r="746" spans="1:8" s="191" customFormat="1" ht="15.75" x14ac:dyDescent="0.25">
      <c r="A746" s="396" t="s">
        <v>704</v>
      </c>
      <c r="B746" s="20" t="s">
        <v>264</v>
      </c>
      <c r="C746" s="20" t="s">
        <v>215</v>
      </c>
      <c r="D746" s="20" t="s">
        <v>1202</v>
      </c>
      <c r="E746" s="20" t="s">
        <v>138</v>
      </c>
      <c r="F746" s="6">
        <f>'Пр.4 ведом.21'!G328</f>
        <v>54.400000000000006</v>
      </c>
      <c r="G746" s="389">
        <f>'Пр.4 ведом.21'!H328</f>
        <v>54.366</v>
      </c>
      <c r="H746" s="389">
        <f t="shared" si="134"/>
        <v>99.937499999999986</v>
      </c>
    </row>
    <row r="747" spans="1:8" s="387" customFormat="1" ht="47.25" x14ac:dyDescent="0.25">
      <c r="A747" s="396" t="s">
        <v>1660</v>
      </c>
      <c r="B747" s="392" t="s">
        <v>264</v>
      </c>
      <c r="C747" s="392" t="s">
        <v>215</v>
      </c>
      <c r="D747" s="392" t="s">
        <v>1661</v>
      </c>
      <c r="E747" s="392"/>
      <c r="F747" s="389">
        <f>F748</f>
        <v>182.9</v>
      </c>
      <c r="G747" s="389">
        <f>G748</f>
        <v>182.9</v>
      </c>
      <c r="H747" s="389">
        <f t="shared" si="134"/>
        <v>100</v>
      </c>
    </row>
    <row r="748" spans="1:8" s="387" customFormat="1" ht="78.75" x14ac:dyDescent="0.25">
      <c r="A748" s="396" t="s">
        <v>127</v>
      </c>
      <c r="B748" s="392" t="s">
        <v>264</v>
      </c>
      <c r="C748" s="392" t="s">
        <v>215</v>
      </c>
      <c r="D748" s="392" t="s">
        <v>1661</v>
      </c>
      <c r="E748" s="392" t="s">
        <v>128</v>
      </c>
      <c r="F748" s="389">
        <f>F749</f>
        <v>182.9</v>
      </c>
      <c r="G748" s="389">
        <f>G749</f>
        <v>182.9</v>
      </c>
      <c r="H748" s="389">
        <f t="shared" si="134"/>
        <v>100</v>
      </c>
    </row>
    <row r="749" spans="1:8" s="387" customFormat="1" ht="31.5" x14ac:dyDescent="0.25">
      <c r="A749" s="46" t="s">
        <v>342</v>
      </c>
      <c r="B749" s="392" t="s">
        <v>264</v>
      </c>
      <c r="C749" s="392" t="s">
        <v>215</v>
      </c>
      <c r="D749" s="392" t="s">
        <v>1661</v>
      </c>
      <c r="E749" s="392" t="s">
        <v>209</v>
      </c>
      <c r="F749" s="389">
        <f>'Пр.4 ведом.21'!G331</f>
        <v>182.9</v>
      </c>
      <c r="G749" s="389">
        <f>'Пр.4 ведом.21'!H331</f>
        <v>182.9</v>
      </c>
      <c r="H749" s="389">
        <f t="shared" si="134"/>
        <v>100</v>
      </c>
    </row>
    <row r="750" spans="1:8" s="191" customFormat="1" ht="31.5" x14ac:dyDescent="0.25">
      <c r="A750" s="31" t="s">
        <v>1490</v>
      </c>
      <c r="B750" s="20" t="s">
        <v>264</v>
      </c>
      <c r="C750" s="20" t="s">
        <v>215</v>
      </c>
      <c r="D750" s="20" t="s">
        <v>1462</v>
      </c>
      <c r="E750" s="20"/>
      <c r="F750" s="6">
        <f>F751</f>
        <v>8232.8000000000011</v>
      </c>
      <c r="G750" s="389">
        <f>G751</f>
        <v>7765.0379999999996</v>
      </c>
      <c r="H750" s="389">
        <f t="shared" si="134"/>
        <v>94.31831211738411</v>
      </c>
    </row>
    <row r="751" spans="1:8" s="191" customFormat="1" ht="78.75" x14ac:dyDescent="0.25">
      <c r="A751" s="396" t="s">
        <v>127</v>
      </c>
      <c r="B751" s="20" t="s">
        <v>264</v>
      </c>
      <c r="C751" s="20" t="s">
        <v>215</v>
      </c>
      <c r="D751" s="20" t="s">
        <v>1462</v>
      </c>
      <c r="E751" s="20" t="s">
        <v>128</v>
      </c>
      <c r="F751" s="6">
        <f>F752</f>
        <v>8232.8000000000011</v>
      </c>
      <c r="G751" s="389">
        <f>G752</f>
        <v>7765.0379999999996</v>
      </c>
      <c r="H751" s="389">
        <f t="shared" si="134"/>
        <v>94.31831211738411</v>
      </c>
    </row>
    <row r="752" spans="1:8" s="191" customFormat="1" ht="15.75" x14ac:dyDescent="0.25">
      <c r="A752" s="396" t="s">
        <v>208</v>
      </c>
      <c r="B752" s="20" t="s">
        <v>264</v>
      </c>
      <c r="C752" s="20" t="s">
        <v>215</v>
      </c>
      <c r="D752" s="20" t="s">
        <v>1462</v>
      </c>
      <c r="E752" s="20" t="s">
        <v>209</v>
      </c>
      <c r="F752" s="6">
        <f>'Пр.4 ведом.21'!G334</f>
        <v>8232.8000000000011</v>
      </c>
      <c r="G752" s="389">
        <f>'Пр.4 ведом.21'!H334</f>
        <v>7765.0379999999996</v>
      </c>
      <c r="H752" s="389">
        <f t="shared" si="134"/>
        <v>94.31831211738411</v>
      </c>
    </row>
    <row r="753" spans="1:8" s="191" customFormat="1" ht="31.5" x14ac:dyDescent="0.25">
      <c r="A753" s="200" t="s">
        <v>1300</v>
      </c>
      <c r="B753" s="24" t="s">
        <v>264</v>
      </c>
      <c r="C753" s="24" t="s">
        <v>215</v>
      </c>
      <c r="D753" s="24" t="s">
        <v>1203</v>
      </c>
      <c r="E753" s="24"/>
      <c r="F753" s="4">
        <f>F754+F757</f>
        <v>335.5</v>
      </c>
      <c r="G753" s="388">
        <f>G754+G757</f>
        <v>335.47399999999999</v>
      </c>
      <c r="H753" s="492">
        <f t="shared" si="134"/>
        <v>99.992250372578241</v>
      </c>
    </row>
    <row r="754" spans="1:8" s="191" customFormat="1" ht="31.5" x14ac:dyDescent="0.25">
      <c r="A754" s="188" t="s">
        <v>799</v>
      </c>
      <c r="B754" s="20" t="s">
        <v>264</v>
      </c>
      <c r="C754" s="20" t="s">
        <v>215</v>
      </c>
      <c r="D754" s="20" t="s">
        <v>1204</v>
      </c>
      <c r="E754" s="20"/>
      <c r="F754" s="6">
        <f>F755</f>
        <v>45</v>
      </c>
      <c r="G754" s="389">
        <f>G755</f>
        <v>45</v>
      </c>
      <c r="H754" s="389">
        <f t="shared" si="134"/>
        <v>100</v>
      </c>
    </row>
    <row r="755" spans="1:8" s="191" customFormat="1" ht="20.25" customHeight="1" x14ac:dyDescent="0.25">
      <c r="A755" s="396" t="s">
        <v>248</v>
      </c>
      <c r="B755" s="20" t="s">
        <v>264</v>
      </c>
      <c r="C755" s="20" t="s">
        <v>215</v>
      </c>
      <c r="D755" s="20" t="s">
        <v>1204</v>
      </c>
      <c r="E755" s="20" t="s">
        <v>249</v>
      </c>
      <c r="F755" s="6">
        <f>F756</f>
        <v>45</v>
      </c>
      <c r="G755" s="389">
        <f>G756</f>
        <v>45</v>
      </c>
      <c r="H755" s="389">
        <f t="shared" si="134"/>
        <v>100</v>
      </c>
    </row>
    <row r="756" spans="1:8" s="191" customFormat="1" ht="15.75" x14ac:dyDescent="0.25">
      <c r="A756" s="396" t="s">
        <v>819</v>
      </c>
      <c r="B756" s="20" t="s">
        <v>264</v>
      </c>
      <c r="C756" s="20" t="s">
        <v>215</v>
      </c>
      <c r="D756" s="20" t="s">
        <v>1204</v>
      </c>
      <c r="E756" s="20" t="s">
        <v>818</v>
      </c>
      <c r="F756" s="6">
        <f>'Пр.4 ведом.21'!G338</f>
        <v>45</v>
      </c>
      <c r="G756" s="389">
        <f>'Пр.4 ведом.21'!H338</f>
        <v>45</v>
      </c>
      <c r="H756" s="389">
        <f t="shared" si="134"/>
        <v>100</v>
      </c>
    </row>
    <row r="757" spans="1:8" ht="31.5" x14ac:dyDescent="0.25">
      <c r="A757" s="31" t="s">
        <v>815</v>
      </c>
      <c r="B757" s="20" t="s">
        <v>264</v>
      </c>
      <c r="C757" s="20" t="s">
        <v>215</v>
      </c>
      <c r="D757" s="20" t="s">
        <v>1205</v>
      </c>
      <c r="E757" s="20"/>
      <c r="F757" s="6">
        <f>F758+F760</f>
        <v>290.5</v>
      </c>
      <c r="G757" s="389">
        <f>G758+G760</f>
        <v>290.47399999999999</v>
      </c>
      <c r="H757" s="389">
        <f t="shared" si="134"/>
        <v>99.991049913941481</v>
      </c>
    </row>
    <row r="758" spans="1:8" ht="78.75" x14ac:dyDescent="0.25">
      <c r="A758" s="396" t="s">
        <v>127</v>
      </c>
      <c r="B758" s="20" t="s">
        <v>264</v>
      </c>
      <c r="C758" s="20" t="s">
        <v>215</v>
      </c>
      <c r="D758" s="20" t="s">
        <v>1205</v>
      </c>
      <c r="E758" s="20" t="s">
        <v>128</v>
      </c>
      <c r="F758" s="6">
        <f>F759</f>
        <v>290.5</v>
      </c>
      <c r="G758" s="389">
        <f>G759</f>
        <v>290.47399999999999</v>
      </c>
      <c r="H758" s="389">
        <f t="shared" si="134"/>
        <v>99.991049913941481</v>
      </c>
    </row>
    <row r="759" spans="1:8" s="191" customFormat="1" ht="18.75" customHeight="1" x14ac:dyDescent="0.25">
      <c r="A759" s="46" t="s">
        <v>342</v>
      </c>
      <c r="B759" s="20" t="s">
        <v>264</v>
      </c>
      <c r="C759" s="20" t="s">
        <v>215</v>
      </c>
      <c r="D759" s="20" t="s">
        <v>1205</v>
      </c>
      <c r="E759" s="20" t="s">
        <v>209</v>
      </c>
      <c r="F759" s="6">
        <f>'Пр.4 ведом.21'!G341</f>
        <v>290.5</v>
      </c>
      <c r="G759" s="389">
        <f>'Пр.4 ведом.21'!H341</f>
        <v>290.47399999999999</v>
      </c>
      <c r="H759" s="389">
        <f t="shared" si="134"/>
        <v>99.991049913941481</v>
      </c>
    </row>
    <row r="760" spans="1:8" s="191" customFormat="1" ht="31.5" hidden="1" x14ac:dyDescent="0.25">
      <c r="A760" s="396" t="s">
        <v>131</v>
      </c>
      <c r="B760" s="20" t="s">
        <v>264</v>
      </c>
      <c r="C760" s="20" t="s">
        <v>215</v>
      </c>
      <c r="D760" s="20" t="s">
        <v>1205</v>
      </c>
      <c r="E760" s="20" t="s">
        <v>132</v>
      </c>
      <c r="F760" s="6">
        <f>F761</f>
        <v>0</v>
      </c>
      <c r="G760" s="389">
        <f>G761</f>
        <v>0</v>
      </c>
      <c r="H760" s="389" t="e">
        <f t="shared" si="134"/>
        <v>#DIV/0!</v>
      </c>
    </row>
    <row r="761" spans="1:8" s="191" customFormat="1" ht="31.5" hidden="1" x14ac:dyDescent="0.25">
      <c r="A761" s="396" t="s">
        <v>133</v>
      </c>
      <c r="B761" s="20" t="s">
        <v>264</v>
      </c>
      <c r="C761" s="20" t="s">
        <v>215</v>
      </c>
      <c r="D761" s="20" t="s">
        <v>1205</v>
      </c>
      <c r="E761" s="20" t="s">
        <v>134</v>
      </c>
      <c r="F761" s="6">
        <f>'Пр.4 ведом.21'!G343</f>
        <v>0</v>
      </c>
      <c r="G761" s="389">
        <f>'Пр.4 ведом.21'!H343</f>
        <v>0</v>
      </c>
      <c r="H761" s="389" t="e">
        <f t="shared" si="134"/>
        <v>#DIV/0!</v>
      </c>
    </row>
    <row r="762" spans="1:8" s="191" customFormat="1" ht="31.5" x14ac:dyDescent="0.25">
      <c r="A762" s="394" t="s">
        <v>946</v>
      </c>
      <c r="B762" s="24" t="s">
        <v>264</v>
      </c>
      <c r="C762" s="24" t="s">
        <v>215</v>
      </c>
      <c r="D762" s="24" t="s">
        <v>1206</v>
      </c>
      <c r="E762" s="24"/>
      <c r="F762" s="4">
        <f t="shared" ref="F762:G764" si="141">F763</f>
        <v>233.20000000000002</v>
      </c>
      <c r="G762" s="388">
        <f t="shared" si="141"/>
        <v>233.185</v>
      </c>
      <c r="H762" s="492">
        <f t="shared" si="134"/>
        <v>99.993567753001713</v>
      </c>
    </row>
    <row r="763" spans="1:8" s="191" customFormat="1" ht="47.25" x14ac:dyDescent="0.25">
      <c r="A763" s="396" t="s">
        <v>838</v>
      </c>
      <c r="B763" s="20" t="s">
        <v>264</v>
      </c>
      <c r="C763" s="20" t="s">
        <v>215</v>
      </c>
      <c r="D763" s="20" t="s">
        <v>1207</v>
      </c>
      <c r="E763" s="20"/>
      <c r="F763" s="6">
        <f t="shared" si="141"/>
        <v>233.20000000000002</v>
      </c>
      <c r="G763" s="389">
        <f t="shared" si="141"/>
        <v>233.185</v>
      </c>
      <c r="H763" s="389">
        <f t="shared" si="134"/>
        <v>99.993567753001713</v>
      </c>
    </row>
    <row r="764" spans="1:8" s="191" customFormat="1" ht="78.75" x14ac:dyDescent="0.25">
      <c r="A764" s="396" t="s">
        <v>127</v>
      </c>
      <c r="B764" s="20" t="s">
        <v>264</v>
      </c>
      <c r="C764" s="20" t="s">
        <v>215</v>
      </c>
      <c r="D764" s="20" t="s">
        <v>1207</v>
      </c>
      <c r="E764" s="20" t="s">
        <v>128</v>
      </c>
      <c r="F764" s="6">
        <f t="shared" si="141"/>
        <v>233.20000000000002</v>
      </c>
      <c r="G764" s="389">
        <f t="shared" si="141"/>
        <v>233.185</v>
      </c>
      <c r="H764" s="389">
        <f t="shared" si="134"/>
        <v>99.993567753001713</v>
      </c>
    </row>
    <row r="765" spans="1:8" s="191" customFormat="1" ht="31.5" x14ac:dyDescent="0.25">
      <c r="A765" s="396" t="s">
        <v>129</v>
      </c>
      <c r="B765" s="20" t="s">
        <v>264</v>
      </c>
      <c r="C765" s="20" t="s">
        <v>215</v>
      </c>
      <c r="D765" s="20" t="s">
        <v>1207</v>
      </c>
      <c r="E765" s="20" t="s">
        <v>209</v>
      </c>
      <c r="F765" s="6">
        <f>'Пр.4 ведом.21'!G347</f>
        <v>233.20000000000002</v>
      </c>
      <c r="G765" s="389">
        <f>'Пр.4 ведом.21'!H347</f>
        <v>233.185</v>
      </c>
      <c r="H765" s="389">
        <f t="shared" si="134"/>
        <v>99.993567753001713</v>
      </c>
    </row>
    <row r="766" spans="1:8" s="191" customFormat="1" ht="47.25" x14ac:dyDescent="0.25">
      <c r="A766" s="394" t="s">
        <v>899</v>
      </c>
      <c r="B766" s="24" t="s">
        <v>264</v>
      </c>
      <c r="C766" s="24" t="s">
        <v>215</v>
      </c>
      <c r="D766" s="24" t="s">
        <v>1208</v>
      </c>
      <c r="E766" s="24"/>
      <c r="F766" s="4">
        <f>F770+F773+F767</f>
        <v>1075.4000000000001</v>
      </c>
      <c r="G766" s="388">
        <f>G770+G773+G767</f>
        <v>669.053</v>
      </c>
      <c r="H766" s="492">
        <f t="shared" si="134"/>
        <v>62.214338850660212</v>
      </c>
    </row>
    <row r="767" spans="1:8" s="191" customFormat="1" ht="94.5" x14ac:dyDescent="0.25">
      <c r="A767" s="31" t="s">
        <v>293</v>
      </c>
      <c r="B767" s="20" t="s">
        <v>264</v>
      </c>
      <c r="C767" s="20" t="s">
        <v>215</v>
      </c>
      <c r="D767" s="20" t="s">
        <v>1402</v>
      </c>
      <c r="E767" s="20"/>
      <c r="F767" s="6">
        <f>F768</f>
        <v>671</v>
      </c>
      <c r="G767" s="389">
        <f>G768</f>
        <v>383.24</v>
      </c>
      <c r="H767" s="389">
        <f t="shared" si="134"/>
        <v>57.114754098360656</v>
      </c>
    </row>
    <row r="768" spans="1:8" s="191" customFormat="1" ht="78.75" x14ac:dyDescent="0.25">
      <c r="A768" s="396" t="s">
        <v>127</v>
      </c>
      <c r="B768" s="20" t="s">
        <v>264</v>
      </c>
      <c r="C768" s="20" t="s">
        <v>215</v>
      </c>
      <c r="D768" s="20" t="s">
        <v>1402</v>
      </c>
      <c r="E768" s="20" t="s">
        <v>128</v>
      </c>
      <c r="F768" s="6">
        <f>F769</f>
        <v>671</v>
      </c>
      <c r="G768" s="389">
        <f>G769</f>
        <v>383.24</v>
      </c>
      <c r="H768" s="389">
        <f t="shared" si="134"/>
        <v>57.114754098360656</v>
      </c>
    </row>
    <row r="769" spans="1:8" s="191" customFormat="1" ht="22.7" customHeight="1" x14ac:dyDescent="0.25">
      <c r="A769" s="46" t="s">
        <v>342</v>
      </c>
      <c r="B769" s="20" t="s">
        <v>264</v>
      </c>
      <c r="C769" s="20" t="s">
        <v>215</v>
      </c>
      <c r="D769" s="20" t="s">
        <v>1402</v>
      </c>
      <c r="E769" s="20" t="s">
        <v>209</v>
      </c>
      <c r="F769" s="6">
        <f>'Пр.4 ведом.21'!G351</f>
        <v>671</v>
      </c>
      <c r="G769" s="389">
        <f>'Пр.4 ведом.21'!H351</f>
        <v>383.24</v>
      </c>
      <c r="H769" s="389">
        <f t="shared" si="134"/>
        <v>57.114754098360656</v>
      </c>
    </row>
    <row r="770" spans="1:8" s="191" customFormat="1" ht="63" x14ac:dyDescent="0.25">
      <c r="A770" s="31" t="s">
        <v>289</v>
      </c>
      <c r="B770" s="20" t="s">
        <v>264</v>
      </c>
      <c r="C770" s="20" t="s">
        <v>215</v>
      </c>
      <c r="D770" s="20" t="s">
        <v>1209</v>
      </c>
      <c r="E770" s="20"/>
      <c r="F770" s="6">
        <f>F771</f>
        <v>106</v>
      </c>
      <c r="G770" s="389">
        <f>G771</f>
        <v>77.772000000000006</v>
      </c>
      <c r="H770" s="389">
        <f t="shared" si="134"/>
        <v>73.369811320754721</v>
      </c>
    </row>
    <row r="771" spans="1:8" s="191" customFormat="1" ht="78.75" x14ac:dyDescent="0.25">
      <c r="A771" s="396" t="s">
        <v>127</v>
      </c>
      <c r="B771" s="20" t="s">
        <v>264</v>
      </c>
      <c r="C771" s="20" t="s">
        <v>215</v>
      </c>
      <c r="D771" s="20" t="s">
        <v>1209</v>
      </c>
      <c r="E771" s="20" t="s">
        <v>128</v>
      </c>
      <c r="F771" s="6">
        <f>F772</f>
        <v>106</v>
      </c>
      <c r="G771" s="389">
        <f>G772</f>
        <v>77.772000000000006</v>
      </c>
      <c r="H771" s="389">
        <f t="shared" si="134"/>
        <v>73.369811320754721</v>
      </c>
    </row>
    <row r="772" spans="1:8" s="191" customFormat="1" ht="21.2" customHeight="1" x14ac:dyDescent="0.25">
      <c r="A772" s="46" t="s">
        <v>342</v>
      </c>
      <c r="B772" s="20" t="s">
        <v>264</v>
      </c>
      <c r="C772" s="20" t="s">
        <v>215</v>
      </c>
      <c r="D772" s="20" t="s">
        <v>1209</v>
      </c>
      <c r="E772" s="20" t="s">
        <v>209</v>
      </c>
      <c r="F772" s="6">
        <f>'Пр.4 ведом.21'!G354</f>
        <v>106</v>
      </c>
      <c r="G772" s="389">
        <f>'Пр.4 ведом.21'!H354</f>
        <v>77.772000000000006</v>
      </c>
      <c r="H772" s="389">
        <f t="shared" si="134"/>
        <v>73.369811320754721</v>
      </c>
    </row>
    <row r="773" spans="1:8" s="191" customFormat="1" ht="63" x14ac:dyDescent="0.25">
      <c r="A773" s="31" t="s">
        <v>291</v>
      </c>
      <c r="B773" s="20" t="s">
        <v>264</v>
      </c>
      <c r="C773" s="20" t="s">
        <v>215</v>
      </c>
      <c r="D773" s="20" t="s">
        <v>1210</v>
      </c>
      <c r="E773" s="20"/>
      <c r="F773" s="6">
        <f>F774</f>
        <v>298.40000000000003</v>
      </c>
      <c r="G773" s="389">
        <f>G774</f>
        <v>208.041</v>
      </c>
      <c r="H773" s="389">
        <f t="shared" si="134"/>
        <v>69.71883378016085</v>
      </c>
    </row>
    <row r="774" spans="1:8" s="191" customFormat="1" ht="78.75" x14ac:dyDescent="0.25">
      <c r="A774" s="396" t="s">
        <v>127</v>
      </c>
      <c r="B774" s="20" t="s">
        <v>264</v>
      </c>
      <c r="C774" s="20" t="s">
        <v>215</v>
      </c>
      <c r="D774" s="20" t="s">
        <v>1210</v>
      </c>
      <c r="E774" s="20" t="s">
        <v>128</v>
      </c>
      <c r="F774" s="6">
        <f>F775</f>
        <v>298.40000000000003</v>
      </c>
      <c r="G774" s="389">
        <f>G775</f>
        <v>208.041</v>
      </c>
      <c r="H774" s="389">
        <f t="shared" si="134"/>
        <v>69.71883378016085</v>
      </c>
    </row>
    <row r="775" spans="1:8" s="191" customFormat="1" ht="21.2" customHeight="1" x14ac:dyDescent="0.25">
      <c r="A775" s="46" t="s">
        <v>342</v>
      </c>
      <c r="B775" s="20" t="s">
        <v>264</v>
      </c>
      <c r="C775" s="20" t="s">
        <v>215</v>
      </c>
      <c r="D775" s="20" t="s">
        <v>1210</v>
      </c>
      <c r="E775" s="20" t="s">
        <v>209</v>
      </c>
      <c r="F775" s="6">
        <f>'Пр.4 ведом.21'!G357</f>
        <v>298.40000000000003</v>
      </c>
      <c r="G775" s="389">
        <f>'Пр.4 ведом.21'!H357</f>
        <v>208.041</v>
      </c>
      <c r="H775" s="389">
        <f t="shared" si="134"/>
        <v>69.71883378016085</v>
      </c>
    </row>
    <row r="776" spans="1:8" s="191" customFormat="1" ht="45.75" customHeight="1" x14ac:dyDescent="0.25">
      <c r="A776" s="34" t="s">
        <v>1356</v>
      </c>
      <c r="B776" s="24" t="s">
        <v>264</v>
      </c>
      <c r="C776" s="24" t="s">
        <v>215</v>
      </c>
      <c r="D776" s="24" t="s">
        <v>324</v>
      </c>
      <c r="E776" s="24"/>
      <c r="F776" s="21">
        <f>F778</f>
        <v>9.5</v>
      </c>
      <c r="G776" s="393">
        <f>G778</f>
        <v>9.4499999999999993</v>
      </c>
      <c r="H776" s="492">
        <f t="shared" si="134"/>
        <v>99.473684210526301</v>
      </c>
    </row>
    <row r="777" spans="1:8" s="191" customFormat="1" ht="63.2" customHeight="1" x14ac:dyDescent="0.25">
      <c r="A777" s="34" t="s">
        <v>1024</v>
      </c>
      <c r="B777" s="24" t="s">
        <v>264</v>
      </c>
      <c r="C777" s="24" t="s">
        <v>215</v>
      </c>
      <c r="D777" s="24" t="s">
        <v>933</v>
      </c>
      <c r="E777" s="24"/>
      <c r="F777" s="21">
        <f>F780</f>
        <v>9.5</v>
      </c>
      <c r="G777" s="393">
        <f>G780</f>
        <v>9.4499999999999993</v>
      </c>
      <c r="H777" s="492">
        <f t="shared" ref="H777:H840" si="142">G777/F777*100</f>
        <v>99.473684210526301</v>
      </c>
    </row>
    <row r="778" spans="1:8" s="191" customFormat="1" ht="51" customHeight="1" x14ac:dyDescent="0.25">
      <c r="A778" s="31" t="s">
        <v>1081</v>
      </c>
      <c r="B778" s="20" t="s">
        <v>264</v>
      </c>
      <c r="C778" s="20" t="s">
        <v>215</v>
      </c>
      <c r="D778" s="20" t="s">
        <v>1025</v>
      </c>
      <c r="E778" s="20"/>
      <c r="F778" s="26">
        <f>F779</f>
        <v>9.5</v>
      </c>
      <c r="G778" s="397">
        <f>G779</f>
        <v>9.4499999999999993</v>
      </c>
      <c r="H778" s="389">
        <f t="shared" si="142"/>
        <v>99.473684210526301</v>
      </c>
    </row>
    <row r="779" spans="1:8" s="191" customFormat="1" ht="39.4" customHeight="1" x14ac:dyDescent="0.25">
      <c r="A779" s="396" t="s">
        <v>131</v>
      </c>
      <c r="B779" s="20" t="s">
        <v>264</v>
      </c>
      <c r="C779" s="20" t="s">
        <v>215</v>
      </c>
      <c r="D779" s="20" t="s">
        <v>1025</v>
      </c>
      <c r="E779" s="20" t="s">
        <v>132</v>
      </c>
      <c r="F779" s="26">
        <f>F780</f>
        <v>9.5</v>
      </c>
      <c r="G779" s="397">
        <f>G780</f>
        <v>9.4499999999999993</v>
      </c>
      <c r="H779" s="389">
        <f t="shared" si="142"/>
        <v>99.473684210526301</v>
      </c>
    </row>
    <row r="780" spans="1:8" s="191" customFormat="1" ht="35.450000000000003" customHeight="1" x14ac:dyDescent="0.25">
      <c r="A780" s="396" t="s">
        <v>133</v>
      </c>
      <c r="B780" s="20" t="s">
        <v>264</v>
      </c>
      <c r="C780" s="20" t="s">
        <v>215</v>
      </c>
      <c r="D780" s="20" t="s">
        <v>1025</v>
      </c>
      <c r="E780" s="20" t="s">
        <v>134</v>
      </c>
      <c r="F780" s="26">
        <f>'Пр.4 ведом.21'!G362</f>
        <v>9.5</v>
      </c>
      <c r="G780" s="397">
        <f>'Пр.4 ведом.21'!H362</f>
        <v>9.4499999999999993</v>
      </c>
      <c r="H780" s="389">
        <f t="shared" si="142"/>
        <v>99.473684210526301</v>
      </c>
    </row>
    <row r="781" spans="1:8" s="191" customFormat="1" ht="47.25" x14ac:dyDescent="0.25">
      <c r="A781" s="400" t="s">
        <v>1351</v>
      </c>
      <c r="B781" s="24" t="s">
        <v>264</v>
      </c>
      <c r="C781" s="24" t="s">
        <v>215</v>
      </c>
      <c r="D781" s="24" t="s">
        <v>705</v>
      </c>
      <c r="E781" s="24"/>
      <c r="F781" s="4">
        <f>F782</f>
        <v>790.7</v>
      </c>
      <c r="G781" s="388">
        <f>G782</f>
        <v>787.41300000000001</v>
      </c>
      <c r="H781" s="492">
        <f t="shared" si="142"/>
        <v>99.584292399139997</v>
      </c>
    </row>
    <row r="782" spans="1:8" s="191" customFormat="1" ht="47.25" x14ac:dyDescent="0.25">
      <c r="A782" s="400" t="s">
        <v>889</v>
      </c>
      <c r="B782" s="24" t="s">
        <v>264</v>
      </c>
      <c r="C782" s="24" t="s">
        <v>215</v>
      </c>
      <c r="D782" s="24" t="s">
        <v>887</v>
      </c>
      <c r="E782" s="24"/>
      <c r="F782" s="4">
        <f>F783+F786</f>
        <v>790.7</v>
      </c>
      <c r="G782" s="388">
        <f>G783+G786</f>
        <v>787.41300000000001</v>
      </c>
      <c r="H782" s="492">
        <f t="shared" si="142"/>
        <v>99.584292399139997</v>
      </c>
    </row>
    <row r="783" spans="1:8" s="191" customFormat="1" ht="35.450000000000003" customHeight="1" x14ac:dyDescent="0.25">
      <c r="A783" s="98" t="s">
        <v>1003</v>
      </c>
      <c r="B783" s="20" t="s">
        <v>264</v>
      </c>
      <c r="C783" s="20" t="s">
        <v>215</v>
      </c>
      <c r="D783" s="20" t="s">
        <v>888</v>
      </c>
      <c r="E783" s="32"/>
      <c r="F783" s="6">
        <f>F784</f>
        <v>494.4</v>
      </c>
      <c r="G783" s="389">
        <f>G784</f>
        <v>494.322</v>
      </c>
      <c r="H783" s="389">
        <f t="shared" si="142"/>
        <v>99.984223300970882</v>
      </c>
    </row>
    <row r="784" spans="1:8" s="191" customFormat="1" ht="31.5" x14ac:dyDescent="0.25">
      <c r="A784" s="396" t="s">
        <v>131</v>
      </c>
      <c r="B784" s="20" t="s">
        <v>264</v>
      </c>
      <c r="C784" s="20" t="s">
        <v>215</v>
      </c>
      <c r="D784" s="20" t="s">
        <v>888</v>
      </c>
      <c r="E784" s="32" t="s">
        <v>132</v>
      </c>
      <c r="F784" s="6">
        <f>F785</f>
        <v>494.4</v>
      </c>
      <c r="G784" s="389">
        <f>G785</f>
        <v>494.322</v>
      </c>
      <c r="H784" s="389">
        <f t="shared" si="142"/>
        <v>99.984223300970882</v>
      </c>
    </row>
    <row r="785" spans="1:8" s="191" customFormat="1" ht="36.75" customHeight="1" x14ac:dyDescent="0.25">
      <c r="A785" s="396" t="s">
        <v>133</v>
      </c>
      <c r="B785" s="20" t="s">
        <v>264</v>
      </c>
      <c r="C785" s="20" t="s">
        <v>215</v>
      </c>
      <c r="D785" s="20" t="s">
        <v>888</v>
      </c>
      <c r="E785" s="32" t="s">
        <v>134</v>
      </c>
      <c r="F785" s="6">
        <f>'Пр.4 ведом.21'!G367</f>
        <v>494.4</v>
      </c>
      <c r="G785" s="389">
        <f>'Пр.4 ведом.21'!H367</f>
        <v>494.322</v>
      </c>
      <c r="H785" s="389">
        <f t="shared" si="142"/>
        <v>99.984223300970882</v>
      </c>
    </row>
    <row r="786" spans="1:8" s="191" customFormat="1" ht="47.25" x14ac:dyDescent="0.25">
      <c r="A786" s="98" t="s">
        <v>780</v>
      </c>
      <c r="B786" s="20" t="s">
        <v>264</v>
      </c>
      <c r="C786" s="20" t="s">
        <v>215</v>
      </c>
      <c r="D786" s="20" t="s">
        <v>935</v>
      </c>
      <c r="E786" s="32"/>
      <c r="F786" s="6">
        <f>F787</f>
        <v>296.3</v>
      </c>
      <c r="G786" s="389">
        <f>G787</f>
        <v>293.09100000000001</v>
      </c>
      <c r="H786" s="389">
        <f t="shared" si="142"/>
        <v>98.916976037799529</v>
      </c>
    </row>
    <row r="787" spans="1:8" s="191" customFormat="1" ht="31.5" x14ac:dyDescent="0.25">
      <c r="A787" s="29" t="s">
        <v>272</v>
      </c>
      <c r="B787" s="20" t="s">
        <v>264</v>
      </c>
      <c r="C787" s="20" t="s">
        <v>215</v>
      </c>
      <c r="D787" s="20" t="s">
        <v>935</v>
      </c>
      <c r="E787" s="32" t="s">
        <v>273</v>
      </c>
      <c r="F787" s="6">
        <f>F788</f>
        <v>296.3</v>
      </c>
      <c r="G787" s="389">
        <f>G788</f>
        <v>293.09100000000001</v>
      </c>
      <c r="H787" s="389">
        <f t="shared" si="142"/>
        <v>98.916976037799529</v>
      </c>
    </row>
    <row r="788" spans="1:8" s="191" customFormat="1" ht="15.75" x14ac:dyDescent="0.25">
      <c r="A788" s="180" t="s">
        <v>274</v>
      </c>
      <c r="B788" s="20" t="s">
        <v>264</v>
      </c>
      <c r="C788" s="20" t="s">
        <v>215</v>
      </c>
      <c r="D788" s="20" t="s">
        <v>935</v>
      </c>
      <c r="E788" s="32" t="s">
        <v>275</v>
      </c>
      <c r="F788" s="6">
        <f>'Пр.4 ведом.21'!G827</f>
        <v>296.3</v>
      </c>
      <c r="G788" s="389">
        <f>'Пр.4 ведом.21'!H827</f>
        <v>293.09100000000001</v>
      </c>
      <c r="H788" s="389">
        <f t="shared" si="142"/>
        <v>98.916976037799529</v>
      </c>
    </row>
    <row r="789" spans="1:8" s="191" customFormat="1" ht="15.75" x14ac:dyDescent="0.25">
      <c r="A789" s="394" t="s">
        <v>466</v>
      </c>
      <c r="B789" s="24" t="s">
        <v>264</v>
      </c>
      <c r="C789" s="24" t="s">
        <v>264</v>
      </c>
      <c r="D789" s="24"/>
      <c r="E789" s="206"/>
      <c r="F789" s="4">
        <f>F790+F812</f>
        <v>7096.4500000000007</v>
      </c>
      <c r="G789" s="388">
        <f>G790+G812</f>
        <v>6486.6579999999994</v>
      </c>
      <c r="H789" s="492">
        <f t="shared" si="142"/>
        <v>91.407083823601923</v>
      </c>
    </row>
    <row r="790" spans="1:8" s="191" customFormat="1" ht="47.25" x14ac:dyDescent="0.25">
      <c r="A790" s="394" t="s">
        <v>1377</v>
      </c>
      <c r="B790" s="24" t="s">
        <v>264</v>
      </c>
      <c r="C790" s="24" t="s">
        <v>264</v>
      </c>
      <c r="D790" s="24" t="s">
        <v>344</v>
      </c>
      <c r="E790" s="24"/>
      <c r="F790" s="4">
        <f>F791</f>
        <v>1052.55</v>
      </c>
      <c r="G790" s="388">
        <f>G791</f>
        <v>1052.3110000000001</v>
      </c>
      <c r="H790" s="492">
        <f t="shared" si="142"/>
        <v>99.977293240226146</v>
      </c>
    </row>
    <row r="791" spans="1:8" s="191" customFormat="1" ht="31.5" x14ac:dyDescent="0.25">
      <c r="A791" s="394" t="s">
        <v>345</v>
      </c>
      <c r="B791" s="24" t="s">
        <v>264</v>
      </c>
      <c r="C791" s="24" t="s">
        <v>264</v>
      </c>
      <c r="D791" s="24" t="s">
        <v>346</v>
      </c>
      <c r="E791" s="24"/>
      <c r="F791" s="4">
        <f>F792+F799+F808</f>
        <v>1052.55</v>
      </c>
      <c r="G791" s="388">
        <f>G792+G799+G808</f>
        <v>1052.3110000000001</v>
      </c>
      <c r="H791" s="492">
        <f t="shared" si="142"/>
        <v>99.977293240226146</v>
      </c>
    </row>
    <row r="792" spans="1:8" s="191" customFormat="1" ht="47.25" x14ac:dyDescent="0.25">
      <c r="A792" s="195" t="s">
        <v>1029</v>
      </c>
      <c r="B792" s="24" t="s">
        <v>264</v>
      </c>
      <c r="C792" s="24" t="s">
        <v>264</v>
      </c>
      <c r="D792" s="24" t="s">
        <v>891</v>
      </c>
      <c r="E792" s="24"/>
      <c r="F792" s="4">
        <f>F793+F796</f>
        <v>267.3</v>
      </c>
      <c r="G792" s="388">
        <f>G793+G796</f>
        <v>267.17700000000002</v>
      </c>
      <c r="H792" s="492">
        <f t="shared" si="142"/>
        <v>99.953984287317624</v>
      </c>
    </row>
    <row r="793" spans="1:8" s="191" customFormat="1" ht="31.5" x14ac:dyDescent="0.25">
      <c r="A793" s="98" t="s">
        <v>1035</v>
      </c>
      <c r="B793" s="20" t="s">
        <v>264</v>
      </c>
      <c r="C793" s="20" t="s">
        <v>264</v>
      </c>
      <c r="D793" s="20" t="s">
        <v>892</v>
      </c>
      <c r="E793" s="20"/>
      <c r="F793" s="6">
        <f>F794</f>
        <v>267.3</v>
      </c>
      <c r="G793" s="389">
        <f>G794</f>
        <v>267.17700000000002</v>
      </c>
      <c r="H793" s="389">
        <f t="shared" si="142"/>
        <v>99.953984287317624</v>
      </c>
    </row>
    <row r="794" spans="1:8" s="191" customFormat="1" ht="78.75" x14ac:dyDescent="0.25">
      <c r="A794" s="396" t="s">
        <v>127</v>
      </c>
      <c r="B794" s="20" t="s">
        <v>264</v>
      </c>
      <c r="C794" s="20" t="s">
        <v>264</v>
      </c>
      <c r="D794" s="20" t="s">
        <v>892</v>
      </c>
      <c r="E794" s="20" t="s">
        <v>128</v>
      </c>
      <c r="F794" s="6">
        <f>F795</f>
        <v>267.3</v>
      </c>
      <c r="G794" s="389">
        <f>G795</f>
        <v>267.17700000000002</v>
      </c>
      <c r="H794" s="389">
        <f t="shared" si="142"/>
        <v>99.953984287317624</v>
      </c>
    </row>
    <row r="795" spans="1:8" s="191" customFormat="1" ht="17.45" customHeight="1" x14ac:dyDescent="0.25">
      <c r="A795" s="396" t="s">
        <v>342</v>
      </c>
      <c r="B795" s="20" t="s">
        <v>264</v>
      </c>
      <c r="C795" s="20" t="s">
        <v>264</v>
      </c>
      <c r="D795" s="20" t="s">
        <v>892</v>
      </c>
      <c r="E795" s="20" t="s">
        <v>209</v>
      </c>
      <c r="F795" s="6">
        <f>'Пр.4 ведом.21'!G374</f>
        <v>267.3</v>
      </c>
      <c r="G795" s="389">
        <f>'Пр.4 ведом.21'!H374</f>
        <v>267.17700000000002</v>
      </c>
      <c r="H795" s="389">
        <f t="shared" si="142"/>
        <v>99.953984287317624</v>
      </c>
    </row>
    <row r="796" spans="1:8" s="191" customFormat="1" ht="19.5" hidden="1" customHeight="1" x14ac:dyDescent="0.25">
      <c r="A796" s="396" t="s">
        <v>1030</v>
      </c>
      <c r="B796" s="20" t="s">
        <v>264</v>
      </c>
      <c r="C796" s="20" t="s">
        <v>264</v>
      </c>
      <c r="D796" s="20" t="s">
        <v>1047</v>
      </c>
      <c r="E796" s="20"/>
      <c r="F796" s="6">
        <f>F797</f>
        <v>0</v>
      </c>
      <c r="G796" s="389">
        <f>G797</f>
        <v>0</v>
      </c>
      <c r="H796" s="389" t="e">
        <f t="shared" si="142"/>
        <v>#DIV/0!</v>
      </c>
    </row>
    <row r="797" spans="1:8" s="191" customFormat="1" ht="31.5" hidden="1" x14ac:dyDescent="0.25">
      <c r="A797" s="396" t="s">
        <v>131</v>
      </c>
      <c r="B797" s="20" t="s">
        <v>264</v>
      </c>
      <c r="C797" s="20" t="s">
        <v>264</v>
      </c>
      <c r="D797" s="20" t="s">
        <v>1047</v>
      </c>
      <c r="E797" s="20" t="s">
        <v>132</v>
      </c>
      <c r="F797" s="6">
        <f>F798</f>
        <v>0</v>
      </c>
      <c r="G797" s="389">
        <f>G798</f>
        <v>0</v>
      </c>
      <c r="H797" s="389" t="e">
        <f t="shared" si="142"/>
        <v>#DIV/0!</v>
      </c>
    </row>
    <row r="798" spans="1:8" s="191" customFormat="1" ht="31.5" hidden="1" x14ac:dyDescent="0.25">
      <c r="A798" s="396" t="s">
        <v>133</v>
      </c>
      <c r="B798" s="20" t="s">
        <v>264</v>
      </c>
      <c r="C798" s="20" t="s">
        <v>264</v>
      </c>
      <c r="D798" s="20" t="s">
        <v>1047</v>
      </c>
      <c r="E798" s="20" t="s">
        <v>134</v>
      </c>
      <c r="F798" s="6">
        <f>'Пр.4 ведом.21'!G377</f>
        <v>0</v>
      </c>
      <c r="G798" s="389">
        <f>'Пр.4 ведом.21'!H377</f>
        <v>0</v>
      </c>
      <c r="H798" s="389" t="e">
        <f t="shared" si="142"/>
        <v>#DIV/0!</v>
      </c>
    </row>
    <row r="799" spans="1:8" s="191" customFormat="1" ht="63" x14ac:dyDescent="0.25">
      <c r="A799" s="394" t="s">
        <v>1031</v>
      </c>
      <c r="B799" s="24" t="s">
        <v>264</v>
      </c>
      <c r="C799" s="24" t="s">
        <v>264</v>
      </c>
      <c r="D799" s="24" t="s">
        <v>893</v>
      </c>
      <c r="E799" s="24"/>
      <c r="F799" s="4">
        <f>F800+F805</f>
        <v>760.25</v>
      </c>
      <c r="G799" s="388">
        <f>G800+G805</f>
        <v>760.13400000000001</v>
      </c>
      <c r="H799" s="492">
        <f t="shared" si="142"/>
        <v>99.984741861229864</v>
      </c>
    </row>
    <row r="800" spans="1:8" s="191" customFormat="1" ht="15.75" x14ac:dyDescent="0.25">
      <c r="A800" s="396" t="s">
        <v>1032</v>
      </c>
      <c r="B800" s="20" t="s">
        <v>264</v>
      </c>
      <c r="C800" s="20" t="s">
        <v>264</v>
      </c>
      <c r="D800" s="20" t="s">
        <v>900</v>
      </c>
      <c r="E800" s="20"/>
      <c r="F800" s="6">
        <f>F801+F803</f>
        <v>462.02299999999997</v>
      </c>
      <c r="G800" s="389">
        <f>G801+G803</f>
        <v>461.90700000000004</v>
      </c>
      <c r="H800" s="389">
        <f t="shared" si="142"/>
        <v>99.97489302480615</v>
      </c>
    </row>
    <row r="801" spans="1:8" s="191" customFormat="1" ht="78.75" x14ac:dyDescent="0.25">
      <c r="A801" s="396" t="s">
        <v>127</v>
      </c>
      <c r="B801" s="20" t="s">
        <v>264</v>
      </c>
      <c r="C801" s="20" t="s">
        <v>264</v>
      </c>
      <c r="D801" s="20" t="s">
        <v>900</v>
      </c>
      <c r="E801" s="20" t="s">
        <v>128</v>
      </c>
      <c r="F801" s="6">
        <f>F802</f>
        <v>18.623000000000001</v>
      </c>
      <c r="G801" s="389">
        <f>G802</f>
        <v>18.55</v>
      </c>
      <c r="H801" s="389">
        <f t="shared" si="142"/>
        <v>99.608011598560921</v>
      </c>
    </row>
    <row r="802" spans="1:8" s="191" customFormat="1" ht="18.75" customHeight="1" x14ac:dyDescent="0.25">
      <c r="A802" s="396" t="s">
        <v>342</v>
      </c>
      <c r="B802" s="20" t="s">
        <v>264</v>
      </c>
      <c r="C802" s="20" t="s">
        <v>264</v>
      </c>
      <c r="D802" s="20" t="s">
        <v>900</v>
      </c>
      <c r="E802" s="20" t="s">
        <v>209</v>
      </c>
      <c r="F802" s="6">
        <f>'Пр.4 ведом.21'!G381</f>
        <v>18.623000000000001</v>
      </c>
      <c r="G802" s="389">
        <f>'Пр.4 ведом.21'!H381</f>
        <v>18.55</v>
      </c>
      <c r="H802" s="389">
        <f t="shared" si="142"/>
        <v>99.608011598560921</v>
      </c>
    </row>
    <row r="803" spans="1:8" s="191" customFormat="1" ht="31.5" x14ac:dyDescent="0.25">
      <c r="A803" s="396" t="s">
        <v>131</v>
      </c>
      <c r="B803" s="20" t="s">
        <v>264</v>
      </c>
      <c r="C803" s="20" t="s">
        <v>264</v>
      </c>
      <c r="D803" s="20" t="s">
        <v>900</v>
      </c>
      <c r="E803" s="20" t="s">
        <v>132</v>
      </c>
      <c r="F803" s="6">
        <f>F804</f>
        <v>443.4</v>
      </c>
      <c r="G803" s="389">
        <f>G804</f>
        <v>443.35700000000003</v>
      </c>
      <c r="H803" s="389">
        <f t="shared" si="142"/>
        <v>99.990302210193974</v>
      </c>
    </row>
    <row r="804" spans="1:8" s="191" customFormat="1" ht="31.5" x14ac:dyDescent="0.25">
      <c r="A804" s="396" t="s">
        <v>133</v>
      </c>
      <c r="B804" s="20" t="s">
        <v>264</v>
      </c>
      <c r="C804" s="20" t="s">
        <v>264</v>
      </c>
      <c r="D804" s="20" t="s">
        <v>900</v>
      </c>
      <c r="E804" s="20" t="s">
        <v>134</v>
      </c>
      <c r="F804" s="6">
        <f>'Пр.4 ведом.21'!G383</f>
        <v>443.4</v>
      </c>
      <c r="G804" s="389">
        <f>'Пр.4 ведом.21'!H383</f>
        <v>443.35700000000003</v>
      </c>
      <c r="H804" s="389">
        <f t="shared" si="142"/>
        <v>99.990302210193974</v>
      </c>
    </row>
    <row r="805" spans="1:8" s="387" customFormat="1" ht="15.75" x14ac:dyDescent="0.25">
      <c r="A805" s="396" t="s">
        <v>1654</v>
      </c>
      <c r="B805" s="392" t="s">
        <v>264</v>
      </c>
      <c r="C805" s="392" t="s">
        <v>264</v>
      </c>
      <c r="D805" s="392" t="s">
        <v>1655</v>
      </c>
      <c r="E805" s="392"/>
      <c r="F805" s="389">
        <f>F806</f>
        <v>298.22699999999998</v>
      </c>
      <c r="G805" s="389">
        <f>G806</f>
        <v>298.22699999999998</v>
      </c>
      <c r="H805" s="389">
        <f t="shared" si="142"/>
        <v>100</v>
      </c>
    </row>
    <row r="806" spans="1:8" s="387" customFormat="1" ht="31.5" x14ac:dyDescent="0.25">
      <c r="A806" s="396" t="s">
        <v>131</v>
      </c>
      <c r="B806" s="392" t="s">
        <v>264</v>
      </c>
      <c r="C806" s="392" t="s">
        <v>264</v>
      </c>
      <c r="D806" s="392" t="s">
        <v>1655</v>
      </c>
      <c r="E806" s="392" t="s">
        <v>132</v>
      </c>
      <c r="F806" s="389">
        <f>F807</f>
        <v>298.22699999999998</v>
      </c>
      <c r="G806" s="389">
        <f>G807</f>
        <v>298.22699999999998</v>
      </c>
      <c r="H806" s="389">
        <f t="shared" si="142"/>
        <v>100</v>
      </c>
    </row>
    <row r="807" spans="1:8" s="387" customFormat="1" ht="31.5" x14ac:dyDescent="0.25">
      <c r="A807" s="396" t="s">
        <v>133</v>
      </c>
      <c r="B807" s="392" t="s">
        <v>264</v>
      </c>
      <c r="C807" s="392" t="s">
        <v>264</v>
      </c>
      <c r="D807" s="392" t="s">
        <v>1655</v>
      </c>
      <c r="E807" s="392" t="s">
        <v>134</v>
      </c>
      <c r="F807" s="389">
        <f>'Пр.4 ведом.21'!G386</f>
        <v>298.22699999999998</v>
      </c>
      <c r="G807" s="389">
        <f>'Пр.4 ведом.21'!H386</f>
        <v>298.22699999999998</v>
      </c>
      <c r="H807" s="389">
        <f t="shared" si="142"/>
        <v>100</v>
      </c>
    </row>
    <row r="808" spans="1:8" s="191" customFormat="1" ht="31.5" x14ac:dyDescent="0.25">
      <c r="A808" s="394" t="s">
        <v>1405</v>
      </c>
      <c r="B808" s="24" t="s">
        <v>264</v>
      </c>
      <c r="C808" s="24" t="s">
        <v>264</v>
      </c>
      <c r="D808" s="24" t="s">
        <v>1033</v>
      </c>
      <c r="E808" s="24"/>
      <c r="F808" s="4">
        <f t="shared" ref="F808:G810" si="143">F809</f>
        <v>25</v>
      </c>
      <c r="G808" s="388">
        <f t="shared" si="143"/>
        <v>25</v>
      </c>
      <c r="H808" s="492">
        <f t="shared" si="142"/>
        <v>100</v>
      </c>
    </row>
    <row r="809" spans="1:8" s="191" customFormat="1" ht="47.25" x14ac:dyDescent="0.25">
      <c r="A809" s="215" t="s">
        <v>1034</v>
      </c>
      <c r="B809" s="20" t="s">
        <v>264</v>
      </c>
      <c r="C809" s="20" t="s">
        <v>264</v>
      </c>
      <c r="D809" s="20" t="s">
        <v>1048</v>
      </c>
      <c r="E809" s="20"/>
      <c r="F809" s="6">
        <f t="shared" si="143"/>
        <v>25</v>
      </c>
      <c r="G809" s="389">
        <f t="shared" si="143"/>
        <v>25</v>
      </c>
      <c r="H809" s="389">
        <f t="shared" si="142"/>
        <v>100</v>
      </c>
    </row>
    <row r="810" spans="1:8" s="191" customFormat="1" ht="21.2" customHeight="1" x14ac:dyDescent="0.25">
      <c r="A810" s="396" t="s">
        <v>248</v>
      </c>
      <c r="B810" s="20" t="s">
        <v>264</v>
      </c>
      <c r="C810" s="20" t="s">
        <v>264</v>
      </c>
      <c r="D810" s="20" t="s">
        <v>1048</v>
      </c>
      <c r="E810" s="20" t="s">
        <v>249</v>
      </c>
      <c r="F810" s="6">
        <f t="shared" si="143"/>
        <v>25</v>
      </c>
      <c r="G810" s="389">
        <f t="shared" si="143"/>
        <v>25</v>
      </c>
      <c r="H810" s="389">
        <f t="shared" si="142"/>
        <v>100</v>
      </c>
    </row>
    <row r="811" spans="1:8" s="191" customFormat="1" ht="31.5" x14ac:dyDescent="0.25">
      <c r="A811" s="396" t="s">
        <v>348</v>
      </c>
      <c r="B811" s="20" t="s">
        <v>264</v>
      </c>
      <c r="C811" s="20" t="s">
        <v>264</v>
      </c>
      <c r="D811" s="20" t="s">
        <v>1048</v>
      </c>
      <c r="E811" s="20" t="s">
        <v>349</v>
      </c>
      <c r="F811" s="6">
        <f>'Пр.4 ведом.21'!G390</f>
        <v>25</v>
      </c>
      <c r="G811" s="389">
        <f>'Пр.4 ведом.21'!H390</f>
        <v>25</v>
      </c>
      <c r="H811" s="389">
        <f t="shared" si="142"/>
        <v>100</v>
      </c>
    </row>
    <row r="812" spans="1:8" ht="36.75" customHeight="1" x14ac:dyDescent="0.25">
      <c r="A812" s="394" t="s">
        <v>1355</v>
      </c>
      <c r="B812" s="24" t="s">
        <v>264</v>
      </c>
      <c r="C812" s="24" t="s">
        <v>264</v>
      </c>
      <c r="D812" s="24" t="s">
        <v>406</v>
      </c>
      <c r="E812" s="24"/>
      <c r="F812" s="4">
        <f t="shared" ref="F812:G815" si="144">F813</f>
        <v>6043.9000000000005</v>
      </c>
      <c r="G812" s="388">
        <f t="shared" si="144"/>
        <v>5434.3469999999998</v>
      </c>
      <c r="H812" s="492">
        <f t="shared" si="142"/>
        <v>89.914575026059325</v>
      </c>
    </row>
    <row r="813" spans="1:8" ht="31.5" x14ac:dyDescent="0.25">
      <c r="A813" s="394" t="s">
        <v>942</v>
      </c>
      <c r="B813" s="24" t="s">
        <v>264</v>
      </c>
      <c r="C813" s="24" t="s">
        <v>264</v>
      </c>
      <c r="D813" s="24" t="s">
        <v>1237</v>
      </c>
      <c r="E813" s="24"/>
      <c r="F813" s="4">
        <f t="shared" si="144"/>
        <v>6043.9000000000005</v>
      </c>
      <c r="G813" s="388">
        <f t="shared" si="144"/>
        <v>5434.3469999999998</v>
      </c>
      <c r="H813" s="492">
        <f t="shared" si="142"/>
        <v>89.914575026059325</v>
      </c>
    </row>
    <row r="814" spans="1:8" ht="42" customHeight="1" x14ac:dyDescent="0.25">
      <c r="A814" s="31" t="s">
        <v>1060</v>
      </c>
      <c r="B814" s="20" t="s">
        <v>264</v>
      </c>
      <c r="C814" s="20" t="s">
        <v>264</v>
      </c>
      <c r="D814" s="20" t="s">
        <v>1259</v>
      </c>
      <c r="E814" s="20"/>
      <c r="F814" s="6">
        <f t="shared" si="144"/>
        <v>6043.9000000000005</v>
      </c>
      <c r="G814" s="389">
        <f t="shared" si="144"/>
        <v>5434.3469999999998</v>
      </c>
      <c r="H814" s="389">
        <f t="shared" si="142"/>
        <v>89.914575026059325</v>
      </c>
    </row>
    <row r="815" spans="1:8" ht="35.450000000000003" customHeight="1" x14ac:dyDescent="0.25">
      <c r="A815" s="396" t="s">
        <v>272</v>
      </c>
      <c r="B815" s="20" t="s">
        <v>264</v>
      </c>
      <c r="C815" s="20" t="s">
        <v>264</v>
      </c>
      <c r="D815" s="20" t="s">
        <v>1259</v>
      </c>
      <c r="E815" s="20" t="s">
        <v>273</v>
      </c>
      <c r="F815" s="6">
        <f t="shared" si="144"/>
        <v>6043.9000000000005</v>
      </c>
      <c r="G815" s="389">
        <f t="shared" si="144"/>
        <v>5434.3469999999998</v>
      </c>
      <c r="H815" s="389">
        <f t="shared" si="142"/>
        <v>89.914575026059325</v>
      </c>
    </row>
    <row r="816" spans="1:8" ht="15.75" x14ac:dyDescent="0.25">
      <c r="A816" s="396" t="s">
        <v>274</v>
      </c>
      <c r="B816" s="20" t="s">
        <v>264</v>
      </c>
      <c r="C816" s="20" t="s">
        <v>264</v>
      </c>
      <c r="D816" s="20" t="s">
        <v>1259</v>
      </c>
      <c r="E816" s="20" t="s">
        <v>275</v>
      </c>
      <c r="F816" s="6">
        <f>'Пр.4 ведом.21'!G833</f>
        <v>6043.9000000000005</v>
      </c>
      <c r="G816" s="389">
        <f>'Пр.4 ведом.21'!H833</f>
        <v>5434.3469999999998</v>
      </c>
      <c r="H816" s="389">
        <f t="shared" si="142"/>
        <v>89.914575026059325</v>
      </c>
    </row>
    <row r="817" spans="1:8" ht="15" customHeight="1" x14ac:dyDescent="0.25">
      <c r="A817" s="394" t="s">
        <v>295</v>
      </c>
      <c r="B817" s="24" t="s">
        <v>264</v>
      </c>
      <c r="C817" s="24" t="s">
        <v>219</v>
      </c>
      <c r="D817" s="24"/>
      <c r="E817" s="24"/>
      <c r="F817" s="4">
        <f>F818+F831</f>
        <v>23055.641</v>
      </c>
      <c r="G817" s="388">
        <f>G818+G831</f>
        <v>22636.690999999999</v>
      </c>
      <c r="H817" s="492">
        <f t="shared" si="142"/>
        <v>98.182874204191492</v>
      </c>
    </row>
    <row r="818" spans="1:8" ht="31.5" x14ac:dyDescent="0.25">
      <c r="A818" s="394" t="s">
        <v>916</v>
      </c>
      <c r="B818" s="24" t="s">
        <v>264</v>
      </c>
      <c r="C818" s="24" t="s">
        <v>219</v>
      </c>
      <c r="D818" s="24" t="s">
        <v>857</v>
      </c>
      <c r="E818" s="24"/>
      <c r="F818" s="4">
        <f>F819</f>
        <v>6933.6795999999995</v>
      </c>
      <c r="G818" s="388">
        <f>G819</f>
        <v>6827.9660000000003</v>
      </c>
      <c r="H818" s="492">
        <f t="shared" si="142"/>
        <v>98.475360759386703</v>
      </c>
    </row>
    <row r="819" spans="1:8" ht="15.75" x14ac:dyDescent="0.25">
      <c r="A819" s="394" t="s">
        <v>917</v>
      </c>
      <c r="B819" s="24" t="s">
        <v>264</v>
      </c>
      <c r="C819" s="24" t="s">
        <v>219</v>
      </c>
      <c r="D819" s="24" t="s">
        <v>858</v>
      </c>
      <c r="E819" s="24"/>
      <c r="F819" s="4">
        <f>F820+F825+F828</f>
        <v>6933.6795999999995</v>
      </c>
      <c r="G819" s="388">
        <f>G820+G825+G828</f>
        <v>6827.9660000000003</v>
      </c>
      <c r="H819" s="492">
        <f t="shared" si="142"/>
        <v>98.475360759386703</v>
      </c>
    </row>
    <row r="820" spans="1:8" ht="31.5" x14ac:dyDescent="0.25">
      <c r="A820" s="396" t="s">
        <v>896</v>
      </c>
      <c r="B820" s="20" t="s">
        <v>264</v>
      </c>
      <c r="C820" s="20" t="s">
        <v>219</v>
      </c>
      <c r="D820" s="20" t="s">
        <v>859</v>
      </c>
      <c r="E820" s="20"/>
      <c r="F820" s="6">
        <f>F821+F823</f>
        <v>6420.5999999999995</v>
      </c>
      <c r="G820" s="389">
        <f>G821+G823</f>
        <v>6314.902</v>
      </c>
      <c r="H820" s="389">
        <f t="shared" si="142"/>
        <v>98.353767560664124</v>
      </c>
    </row>
    <row r="821" spans="1:8" ht="78.75" x14ac:dyDescent="0.25">
      <c r="A821" s="396" t="s">
        <v>127</v>
      </c>
      <c r="B821" s="20" t="s">
        <v>264</v>
      </c>
      <c r="C821" s="20" t="s">
        <v>219</v>
      </c>
      <c r="D821" s="20" t="s">
        <v>859</v>
      </c>
      <c r="E821" s="20" t="s">
        <v>128</v>
      </c>
      <c r="F821" s="6">
        <f>F822</f>
        <v>6208.5999999999995</v>
      </c>
      <c r="G821" s="389">
        <f>G822</f>
        <v>6151.9930000000004</v>
      </c>
      <c r="H821" s="389">
        <f t="shared" si="142"/>
        <v>99.088248558451198</v>
      </c>
    </row>
    <row r="822" spans="1:8" ht="36.75" customHeight="1" x14ac:dyDescent="0.25">
      <c r="A822" s="396" t="s">
        <v>129</v>
      </c>
      <c r="B822" s="20" t="s">
        <v>264</v>
      </c>
      <c r="C822" s="20" t="s">
        <v>219</v>
      </c>
      <c r="D822" s="20" t="s">
        <v>859</v>
      </c>
      <c r="E822" s="20" t="s">
        <v>130</v>
      </c>
      <c r="F822" s="6">
        <f>'Пр.4 ведом.21'!G839</f>
        <v>6208.5999999999995</v>
      </c>
      <c r="G822" s="389">
        <f>'Пр.4 ведом.21'!H839</f>
        <v>6151.9930000000004</v>
      </c>
      <c r="H822" s="389">
        <f t="shared" si="142"/>
        <v>99.088248558451198</v>
      </c>
    </row>
    <row r="823" spans="1:8" ht="31.5" x14ac:dyDescent="0.25">
      <c r="A823" s="396" t="s">
        <v>131</v>
      </c>
      <c r="B823" s="20" t="s">
        <v>264</v>
      </c>
      <c r="C823" s="20" t="s">
        <v>219</v>
      </c>
      <c r="D823" s="20" t="s">
        <v>859</v>
      </c>
      <c r="E823" s="20" t="s">
        <v>132</v>
      </c>
      <c r="F823" s="6">
        <f>F824</f>
        <v>212</v>
      </c>
      <c r="G823" s="389">
        <f>G824</f>
        <v>162.90899999999999</v>
      </c>
      <c r="H823" s="389">
        <f t="shared" si="142"/>
        <v>76.843867924528297</v>
      </c>
    </row>
    <row r="824" spans="1:8" ht="31.5" x14ac:dyDescent="0.25">
      <c r="A824" s="396" t="s">
        <v>133</v>
      </c>
      <c r="B824" s="20" t="s">
        <v>264</v>
      </c>
      <c r="C824" s="20" t="s">
        <v>219</v>
      </c>
      <c r="D824" s="20" t="s">
        <v>859</v>
      </c>
      <c r="E824" s="20" t="s">
        <v>134</v>
      </c>
      <c r="F824" s="6">
        <f>'Пр.4 ведом.21'!G841</f>
        <v>212</v>
      </c>
      <c r="G824" s="389">
        <f>'Пр.4 ведом.21'!H841</f>
        <v>162.90899999999999</v>
      </c>
      <c r="H824" s="389">
        <f t="shared" si="142"/>
        <v>76.843867924528297</v>
      </c>
    </row>
    <row r="825" spans="1:8" ht="47.25" x14ac:dyDescent="0.25">
      <c r="A825" s="396" t="s">
        <v>838</v>
      </c>
      <c r="B825" s="20" t="s">
        <v>264</v>
      </c>
      <c r="C825" s="20" t="s">
        <v>219</v>
      </c>
      <c r="D825" s="20" t="s">
        <v>861</v>
      </c>
      <c r="E825" s="20"/>
      <c r="F825" s="6">
        <f>F826</f>
        <v>443.15</v>
      </c>
      <c r="G825" s="389">
        <f>G826</f>
        <v>443.13499999999999</v>
      </c>
      <c r="H825" s="389">
        <f t="shared" si="142"/>
        <v>99.996615141599904</v>
      </c>
    </row>
    <row r="826" spans="1:8" ht="78.75" x14ac:dyDescent="0.25">
      <c r="A826" s="396" t="s">
        <v>127</v>
      </c>
      <c r="B826" s="20" t="s">
        <v>264</v>
      </c>
      <c r="C826" s="20" t="s">
        <v>219</v>
      </c>
      <c r="D826" s="20" t="s">
        <v>861</v>
      </c>
      <c r="E826" s="20" t="s">
        <v>128</v>
      </c>
      <c r="F826" s="6">
        <f>F827</f>
        <v>443.15</v>
      </c>
      <c r="G826" s="389">
        <f>G827</f>
        <v>443.13499999999999</v>
      </c>
      <c r="H826" s="389">
        <f t="shared" si="142"/>
        <v>99.996615141599904</v>
      </c>
    </row>
    <row r="827" spans="1:8" ht="31.5" x14ac:dyDescent="0.25">
      <c r="A827" s="396" t="s">
        <v>129</v>
      </c>
      <c r="B827" s="20" t="s">
        <v>264</v>
      </c>
      <c r="C827" s="20" t="s">
        <v>219</v>
      </c>
      <c r="D827" s="20" t="s">
        <v>861</v>
      </c>
      <c r="E827" s="20" t="s">
        <v>130</v>
      </c>
      <c r="F827" s="6">
        <f>'Пр.4 ведом.21'!G844</f>
        <v>443.15</v>
      </c>
      <c r="G827" s="389">
        <f>'Пр.4 ведом.21'!H844</f>
        <v>443.13499999999999</v>
      </c>
      <c r="H827" s="389">
        <f t="shared" si="142"/>
        <v>99.996615141599904</v>
      </c>
    </row>
    <row r="828" spans="1:8" s="387" customFormat="1" ht="31.5" x14ac:dyDescent="0.25">
      <c r="A828" s="396" t="s">
        <v>1677</v>
      </c>
      <c r="B828" s="392" t="s">
        <v>264</v>
      </c>
      <c r="C828" s="392" t="s">
        <v>219</v>
      </c>
      <c r="D828" s="392" t="s">
        <v>1678</v>
      </c>
      <c r="E828" s="392"/>
      <c r="F828" s="389">
        <f>F829</f>
        <v>69.929599999999994</v>
      </c>
      <c r="G828" s="389">
        <f>G829</f>
        <v>69.929000000000002</v>
      </c>
      <c r="H828" s="389">
        <f t="shared" si="142"/>
        <v>99.999141994234208</v>
      </c>
    </row>
    <row r="829" spans="1:8" s="387" customFormat="1" ht="78.75" x14ac:dyDescent="0.25">
      <c r="A829" s="396" t="s">
        <v>127</v>
      </c>
      <c r="B829" s="392" t="s">
        <v>264</v>
      </c>
      <c r="C829" s="392" t="s">
        <v>219</v>
      </c>
      <c r="D829" s="392" t="s">
        <v>1678</v>
      </c>
      <c r="E829" s="392" t="s">
        <v>128</v>
      </c>
      <c r="F829" s="389">
        <f>F830</f>
        <v>69.929599999999994</v>
      </c>
      <c r="G829" s="389">
        <f>G830</f>
        <v>69.929000000000002</v>
      </c>
      <c r="H829" s="389">
        <f t="shared" si="142"/>
        <v>99.999141994234208</v>
      </c>
    </row>
    <row r="830" spans="1:8" s="387" customFormat="1" ht="31.5" x14ac:dyDescent="0.25">
      <c r="A830" s="396" t="s">
        <v>129</v>
      </c>
      <c r="B830" s="392" t="s">
        <v>264</v>
      </c>
      <c r="C830" s="392" t="s">
        <v>219</v>
      </c>
      <c r="D830" s="392" t="s">
        <v>1678</v>
      </c>
      <c r="E830" s="392" t="s">
        <v>130</v>
      </c>
      <c r="F830" s="389">
        <f>'Пр.4 ведом.21'!G847</f>
        <v>69.929599999999994</v>
      </c>
      <c r="G830" s="389">
        <f>'Пр.4 ведом.21'!H847</f>
        <v>69.929000000000002</v>
      </c>
      <c r="H830" s="389">
        <f t="shared" si="142"/>
        <v>99.999141994234208</v>
      </c>
    </row>
    <row r="831" spans="1:8" ht="15.75" x14ac:dyDescent="0.25">
      <c r="A831" s="394" t="s">
        <v>141</v>
      </c>
      <c r="B831" s="24" t="s">
        <v>264</v>
      </c>
      <c r="C831" s="24" t="s">
        <v>219</v>
      </c>
      <c r="D831" s="24" t="s">
        <v>865</v>
      </c>
      <c r="E831" s="24"/>
      <c r="F831" s="4">
        <f>F832+F841</f>
        <v>16121.9614</v>
      </c>
      <c r="G831" s="388">
        <f>G832+G841</f>
        <v>15808.725</v>
      </c>
      <c r="H831" s="492">
        <f t="shared" si="142"/>
        <v>98.057082558205352</v>
      </c>
    </row>
    <row r="832" spans="1:8" ht="31.5" x14ac:dyDescent="0.25">
      <c r="A832" s="394" t="s">
        <v>869</v>
      </c>
      <c r="B832" s="24" t="s">
        <v>264</v>
      </c>
      <c r="C832" s="24" t="s">
        <v>219</v>
      </c>
      <c r="D832" s="24" t="s">
        <v>864</v>
      </c>
      <c r="E832" s="24"/>
      <c r="F832" s="4">
        <f>F836+F833</f>
        <v>770.5</v>
      </c>
      <c r="G832" s="388">
        <f>G836+G833</f>
        <v>729.447</v>
      </c>
      <c r="H832" s="492">
        <f t="shared" si="142"/>
        <v>94.67190136275147</v>
      </c>
    </row>
    <row r="833" spans="1:8" s="387" customFormat="1" ht="47.25" x14ac:dyDescent="0.25">
      <c r="A833" s="31" t="s">
        <v>1583</v>
      </c>
      <c r="B833" s="392" t="s">
        <v>264</v>
      </c>
      <c r="C833" s="392" t="s">
        <v>219</v>
      </c>
      <c r="D833" s="392" t="s">
        <v>1582</v>
      </c>
      <c r="E833" s="392"/>
      <c r="F833" s="389">
        <f>F834</f>
        <v>315</v>
      </c>
      <c r="G833" s="389">
        <f>G834</f>
        <v>315</v>
      </c>
      <c r="H833" s="389">
        <f t="shared" si="142"/>
        <v>100</v>
      </c>
    </row>
    <row r="834" spans="1:8" s="387" customFormat="1" ht="31.5" x14ac:dyDescent="0.25">
      <c r="A834" s="396" t="s">
        <v>131</v>
      </c>
      <c r="B834" s="392" t="s">
        <v>264</v>
      </c>
      <c r="C834" s="392" t="s">
        <v>219</v>
      </c>
      <c r="D834" s="392" t="s">
        <v>1582</v>
      </c>
      <c r="E834" s="392" t="s">
        <v>132</v>
      </c>
      <c r="F834" s="389">
        <f>F835</f>
        <v>315</v>
      </c>
      <c r="G834" s="389">
        <f>G835</f>
        <v>315</v>
      </c>
      <c r="H834" s="389">
        <f t="shared" si="142"/>
        <v>100</v>
      </c>
    </row>
    <row r="835" spans="1:8" s="387" customFormat="1" ht="31.5" x14ac:dyDescent="0.25">
      <c r="A835" s="396" t="s">
        <v>133</v>
      </c>
      <c r="B835" s="392" t="s">
        <v>264</v>
      </c>
      <c r="C835" s="392" t="s">
        <v>219</v>
      </c>
      <c r="D835" s="392" t="s">
        <v>1582</v>
      </c>
      <c r="E835" s="392" t="s">
        <v>134</v>
      </c>
      <c r="F835" s="389">
        <f>'Пр.4 ведом.21'!G395</f>
        <v>315</v>
      </c>
      <c r="G835" s="389">
        <f>'Пр.4 ведом.21'!H395</f>
        <v>315</v>
      </c>
      <c r="H835" s="389">
        <f t="shared" si="142"/>
        <v>100</v>
      </c>
    </row>
    <row r="836" spans="1:8" ht="15.75" x14ac:dyDescent="0.25">
      <c r="A836" s="396" t="s">
        <v>478</v>
      </c>
      <c r="B836" s="20" t="s">
        <v>264</v>
      </c>
      <c r="C836" s="20" t="s">
        <v>219</v>
      </c>
      <c r="D836" s="20" t="s">
        <v>943</v>
      </c>
      <c r="E836" s="20"/>
      <c r="F836" s="6">
        <f>F837+F839</f>
        <v>455.5</v>
      </c>
      <c r="G836" s="389">
        <f>G837+G839</f>
        <v>414.447</v>
      </c>
      <c r="H836" s="389">
        <f t="shared" si="142"/>
        <v>90.987266739846334</v>
      </c>
    </row>
    <row r="837" spans="1:8" s="387" customFormat="1" ht="78.75" x14ac:dyDescent="0.25">
      <c r="A837" s="396" t="s">
        <v>127</v>
      </c>
      <c r="B837" s="392" t="s">
        <v>264</v>
      </c>
      <c r="C837" s="392" t="s">
        <v>219</v>
      </c>
      <c r="D837" s="392" t="s">
        <v>943</v>
      </c>
      <c r="E837" s="392" t="s">
        <v>128</v>
      </c>
      <c r="F837" s="389">
        <f>F838</f>
        <v>66.509999999999991</v>
      </c>
      <c r="G837" s="389">
        <f>G838</f>
        <v>66.510000000000005</v>
      </c>
      <c r="H837" s="389">
        <f t="shared" si="142"/>
        <v>100.00000000000003</v>
      </c>
    </row>
    <row r="838" spans="1:8" s="387" customFormat="1" ht="31.5" x14ac:dyDescent="0.25">
      <c r="A838" s="396" t="s">
        <v>342</v>
      </c>
      <c r="B838" s="392" t="s">
        <v>264</v>
      </c>
      <c r="C838" s="392" t="s">
        <v>219</v>
      </c>
      <c r="D838" s="392" t="s">
        <v>943</v>
      </c>
      <c r="E838" s="392" t="s">
        <v>209</v>
      </c>
      <c r="F838" s="389">
        <f>'Пр.4 ведом.21'!G852</f>
        <v>66.509999999999991</v>
      </c>
      <c r="G838" s="389">
        <f>'Пр.4 ведом.21'!H852</f>
        <v>66.510000000000005</v>
      </c>
      <c r="H838" s="389">
        <f t="shared" si="142"/>
        <v>100.00000000000003</v>
      </c>
    </row>
    <row r="839" spans="1:8" ht="31.5" x14ac:dyDescent="0.25">
      <c r="A839" s="396" t="s">
        <v>131</v>
      </c>
      <c r="B839" s="20" t="s">
        <v>264</v>
      </c>
      <c r="C839" s="20" t="s">
        <v>219</v>
      </c>
      <c r="D839" s="20" t="s">
        <v>943</v>
      </c>
      <c r="E839" s="20" t="s">
        <v>132</v>
      </c>
      <c r="F839" s="6">
        <f>F840</f>
        <v>388.99</v>
      </c>
      <c r="G839" s="389">
        <f>G840</f>
        <v>347.93700000000001</v>
      </c>
      <c r="H839" s="389">
        <f t="shared" si="142"/>
        <v>89.446258258567056</v>
      </c>
    </row>
    <row r="840" spans="1:8" ht="39.75" customHeight="1" x14ac:dyDescent="0.25">
      <c r="A840" s="396" t="s">
        <v>133</v>
      </c>
      <c r="B840" s="20" t="s">
        <v>264</v>
      </c>
      <c r="C840" s="20" t="s">
        <v>219</v>
      </c>
      <c r="D840" s="20" t="s">
        <v>943</v>
      </c>
      <c r="E840" s="20" t="s">
        <v>134</v>
      </c>
      <c r="F840" s="6">
        <f>'Пр.4 ведом.21'!G854</f>
        <v>388.99</v>
      </c>
      <c r="G840" s="389">
        <f>'Пр.4 ведом.21'!H854</f>
        <v>347.93700000000001</v>
      </c>
      <c r="H840" s="389">
        <f t="shared" si="142"/>
        <v>89.446258258567056</v>
      </c>
    </row>
    <row r="841" spans="1:8" ht="36.75" customHeight="1" x14ac:dyDescent="0.25">
      <c r="A841" s="394" t="s">
        <v>928</v>
      </c>
      <c r="B841" s="24" t="s">
        <v>264</v>
      </c>
      <c r="C841" s="24" t="s">
        <v>219</v>
      </c>
      <c r="D841" s="24" t="s">
        <v>913</v>
      </c>
      <c r="E841" s="24"/>
      <c r="F841" s="4">
        <f>F842+F849+F852</f>
        <v>15351.4614</v>
      </c>
      <c r="G841" s="388">
        <f>G842+G849+G852</f>
        <v>15079.278</v>
      </c>
      <c r="H841" s="492">
        <f t="shared" ref="H841:H904" si="145">G841/F841*100</f>
        <v>98.226987041116487</v>
      </c>
    </row>
    <row r="842" spans="1:8" ht="31.5" x14ac:dyDescent="0.25">
      <c r="A842" s="396" t="s">
        <v>902</v>
      </c>
      <c r="B842" s="20" t="s">
        <v>264</v>
      </c>
      <c r="C842" s="20" t="s">
        <v>219</v>
      </c>
      <c r="D842" s="20" t="s">
        <v>914</v>
      </c>
      <c r="E842" s="20"/>
      <c r="F842" s="331">
        <f>F843+F845+F847</f>
        <v>14720.65</v>
      </c>
      <c r="G842" s="331">
        <f>G843+G845+G847</f>
        <v>14450.147000000001</v>
      </c>
      <c r="H842" s="389">
        <f t="shared" si="145"/>
        <v>98.162424892922544</v>
      </c>
    </row>
    <row r="843" spans="1:8" ht="78.75" x14ac:dyDescent="0.25">
      <c r="A843" s="396" t="s">
        <v>127</v>
      </c>
      <c r="B843" s="20" t="s">
        <v>264</v>
      </c>
      <c r="C843" s="20" t="s">
        <v>219</v>
      </c>
      <c r="D843" s="20" t="s">
        <v>914</v>
      </c>
      <c r="E843" s="20" t="s">
        <v>128</v>
      </c>
      <c r="F843" s="331">
        <f>F844</f>
        <v>13257.17</v>
      </c>
      <c r="G843" s="331">
        <f>G844</f>
        <v>13051.762000000001</v>
      </c>
      <c r="H843" s="389">
        <f t="shared" si="145"/>
        <v>98.450589379181224</v>
      </c>
    </row>
    <row r="844" spans="1:8" ht="24" customHeight="1" x14ac:dyDescent="0.25">
      <c r="A844" s="396" t="s">
        <v>342</v>
      </c>
      <c r="B844" s="20" t="s">
        <v>264</v>
      </c>
      <c r="C844" s="20" t="s">
        <v>219</v>
      </c>
      <c r="D844" s="20" t="s">
        <v>914</v>
      </c>
      <c r="E844" s="20" t="s">
        <v>209</v>
      </c>
      <c r="F844" s="6">
        <f>'Пр.4 ведом.21'!G858</f>
        <v>13257.17</v>
      </c>
      <c r="G844" s="389">
        <f>'Пр.4 ведом.21'!H858</f>
        <v>13051.762000000001</v>
      </c>
      <c r="H844" s="389">
        <f t="shared" si="145"/>
        <v>98.450589379181224</v>
      </c>
    </row>
    <row r="845" spans="1:8" ht="31.5" x14ac:dyDescent="0.25">
      <c r="A845" s="396" t="s">
        <v>131</v>
      </c>
      <c r="B845" s="20" t="s">
        <v>264</v>
      </c>
      <c r="C845" s="20" t="s">
        <v>219</v>
      </c>
      <c r="D845" s="20" t="s">
        <v>914</v>
      </c>
      <c r="E845" s="20" t="s">
        <v>132</v>
      </c>
      <c r="F845" s="6">
        <f>F846</f>
        <v>1448.48</v>
      </c>
      <c r="G845" s="389">
        <f>G846</f>
        <v>1398.385</v>
      </c>
      <c r="H845" s="389">
        <f t="shared" si="145"/>
        <v>96.541547000994143</v>
      </c>
    </row>
    <row r="846" spans="1:8" ht="31.7" customHeight="1" x14ac:dyDescent="0.25">
      <c r="A846" s="396" t="s">
        <v>133</v>
      </c>
      <c r="B846" s="20" t="s">
        <v>264</v>
      </c>
      <c r="C846" s="20" t="s">
        <v>219</v>
      </c>
      <c r="D846" s="20" t="s">
        <v>914</v>
      </c>
      <c r="E846" s="20" t="s">
        <v>134</v>
      </c>
      <c r="F846" s="6">
        <f>'Пр.4 ведом.21'!G860</f>
        <v>1448.48</v>
      </c>
      <c r="G846" s="389">
        <f>'Пр.4 ведом.21'!H860</f>
        <v>1398.385</v>
      </c>
      <c r="H846" s="389">
        <f t="shared" si="145"/>
        <v>96.541547000994143</v>
      </c>
    </row>
    <row r="847" spans="1:8" ht="22.7" customHeight="1" x14ac:dyDescent="0.25">
      <c r="A847" s="396" t="s">
        <v>135</v>
      </c>
      <c r="B847" s="20" t="s">
        <v>264</v>
      </c>
      <c r="C847" s="20" t="s">
        <v>219</v>
      </c>
      <c r="D847" s="20" t="s">
        <v>914</v>
      </c>
      <c r="E847" s="20" t="s">
        <v>145</v>
      </c>
      <c r="F847" s="6">
        <f t="shared" ref="F847:G847" si="146">F848</f>
        <v>15</v>
      </c>
      <c r="G847" s="389">
        <f t="shared" si="146"/>
        <v>0</v>
      </c>
      <c r="H847" s="389">
        <f t="shared" si="145"/>
        <v>0</v>
      </c>
    </row>
    <row r="848" spans="1:8" ht="15.75" customHeight="1" x14ac:dyDescent="0.25">
      <c r="A848" s="396" t="s">
        <v>568</v>
      </c>
      <c r="B848" s="20" t="s">
        <v>264</v>
      </c>
      <c r="C848" s="20" t="s">
        <v>219</v>
      </c>
      <c r="D848" s="20" t="s">
        <v>914</v>
      </c>
      <c r="E848" s="20" t="s">
        <v>138</v>
      </c>
      <c r="F848" s="6">
        <f>'Пр.4 ведом.21'!G862</f>
        <v>15</v>
      </c>
      <c r="G848" s="389">
        <f>'Пр.4 ведом.21'!H862</f>
        <v>0</v>
      </c>
      <c r="H848" s="389">
        <f t="shared" si="145"/>
        <v>0</v>
      </c>
    </row>
    <row r="849" spans="1:8" ht="47.25" customHeight="1" x14ac:dyDescent="0.25">
      <c r="A849" s="396" t="s">
        <v>838</v>
      </c>
      <c r="B849" s="20" t="s">
        <v>264</v>
      </c>
      <c r="C849" s="20" t="s">
        <v>219</v>
      </c>
      <c r="D849" s="20" t="s">
        <v>915</v>
      </c>
      <c r="E849" s="20"/>
      <c r="F849" s="6">
        <f>F850</f>
        <v>372.75</v>
      </c>
      <c r="G849" s="389">
        <f>G850</f>
        <v>371.07</v>
      </c>
      <c r="H849" s="389">
        <f t="shared" si="145"/>
        <v>99.549295774647888</v>
      </c>
    </row>
    <row r="850" spans="1:8" ht="78.75" x14ac:dyDescent="0.25">
      <c r="A850" s="396" t="s">
        <v>127</v>
      </c>
      <c r="B850" s="20" t="s">
        <v>264</v>
      </c>
      <c r="C850" s="20" t="s">
        <v>219</v>
      </c>
      <c r="D850" s="20" t="s">
        <v>915</v>
      </c>
      <c r="E850" s="20" t="s">
        <v>128</v>
      </c>
      <c r="F850" s="6">
        <f>F851</f>
        <v>372.75</v>
      </c>
      <c r="G850" s="389">
        <f>G851</f>
        <v>371.07</v>
      </c>
      <c r="H850" s="389">
        <f t="shared" si="145"/>
        <v>99.549295774647888</v>
      </c>
    </row>
    <row r="851" spans="1:8" ht="31.5" x14ac:dyDescent="0.25">
      <c r="A851" s="396" t="s">
        <v>129</v>
      </c>
      <c r="B851" s="20" t="s">
        <v>264</v>
      </c>
      <c r="C851" s="20" t="s">
        <v>219</v>
      </c>
      <c r="D851" s="20" t="s">
        <v>915</v>
      </c>
      <c r="E851" s="20" t="s">
        <v>130</v>
      </c>
      <c r="F851" s="6">
        <f>'Пр.4 ведом.21'!G865</f>
        <v>372.75</v>
      </c>
      <c r="G851" s="389">
        <f>'Пр.4 ведом.21'!H865</f>
        <v>371.07</v>
      </c>
      <c r="H851" s="389">
        <f t="shared" si="145"/>
        <v>99.549295774647888</v>
      </c>
    </row>
    <row r="852" spans="1:8" s="387" customFormat="1" ht="31.5" x14ac:dyDescent="0.25">
      <c r="A852" s="396" t="s">
        <v>1677</v>
      </c>
      <c r="B852" s="392" t="s">
        <v>264</v>
      </c>
      <c r="C852" s="392" t="s">
        <v>219</v>
      </c>
      <c r="D852" s="392" t="s">
        <v>1681</v>
      </c>
      <c r="E852" s="392"/>
      <c r="F852" s="389">
        <f>F853</f>
        <v>258.06139999999999</v>
      </c>
      <c r="G852" s="389">
        <f>G853</f>
        <v>258.06099999999998</v>
      </c>
      <c r="H852" s="389">
        <f t="shared" si="145"/>
        <v>99.999844998128353</v>
      </c>
    </row>
    <row r="853" spans="1:8" s="387" customFormat="1" ht="78.75" x14ac:dyDescent="0.25">
      <c r="A853" s="396" t="s">
        <v>127</v>
      </c>
      <c r="B853" s="392" t="s">
        <v>264</v>
      </c>
      <c r="C853" s="392" t="s">
        <v>219</v>
      </c>
      <c r="D853" s="392" t="s">
        <v>1681</v>
      </c>
      <c r="E853" s="392" t="s">
        <v>128</v>
      </c>
      <c r="F853" s="389">
        <f>F854</f>
        <v>258.06139999999999</v>
      </c>
      <c r="G853" s="389">
        <f>G854</f>
        <v>258.06099999999998</v>
      </c>
      <c r="H853" s="389">
        <f t="shared" si="145"/>
        <v>99.999844998128353</v>
      </c>
    </row>
    <row r="854" spans="1:8" s="387" customFormat="1" ht="31.5" x14ac:dyDescent="0.25">
      <c r="A854" s="396" t="s">
        <v>342</v>
      </c>
      <c r="B854" s="392" t="s">
        <v>264</v>
      </c>
      <c r="C854" s="392" t="s">
        <v>219</v>
      </c>
      <c r="D854" s="392" t="s">
        <v>1681</v>
      </c>
      <c r="E854" s="392" t="s">
        <v>209</v>
      </c>
      <c r="F854" s="389">
        <f>'Пр.4 ведом.21'!G868</f>
        <v>258.06139999999999</v>
      </c>
      <c r="G854" s="389">
        <f>'Пр.4 ведом.21'!H868</f>
        <v>258.06099999999998</v>
      </c>
      <c r="H854" s="389">
        <f t="shared" si="145"/>
        <v>99.999844998128353</v>
      </c>
    </row>
    <row r="855" spans="1:8" ht="15.75" x14ac:dyDescent="0.25">
      <c r="A855" s="400" t="s">
        <v>298</v>
      </c>
      <c r="B855" s="7" t="s">
        <v>299</v>
      </c>
      <c r="C855" s="7"/>
      <c r="D855" s="7"/>
      <c r="E855" s="7"/>
      <c r="F855" s="4">
        <f>F856+F915</f>
        <v>85236.564099999989</v>
      </c>
      <c r="G855" s="388">
        <f>G856+G915</f>
        <v>84257.577000000005</v>
      </c>
      <c r="H855" s="492">
        <f t="shared" si="145"/>
        <v>98.851447016504054</v>
      </c>
    </row>
    <row r="856" spans="1:8" ht="15.75" x14ac:dyDescent="0.25">
      <c r="A856" s="400" t="s">
        <v>300</v>
      </c>
      <c r="B856" s="7" t="s">
        <v>299</v>
      </c>
      <c r="C856" s="7" t="s">
        <v>118</v>
      </c>
      <c r="D856" s="7"/>
      <c r="E856" s="7"/>
      <c r="F856" s="4">
        <f>F857+F905+F910</f>
        <v>64414.369999999995</v>
      </c>
      <c r="G856" s="388">
        <f>G857+G905+G910</f>
        <v>63487.312000000005</v>
      </c>
      <c r="H856" s="492">
        <f t="shared" si="145"/>
        <v>98.560790084572758</v>
      </c>
    </row>
    <row r="857" spans="1:8" ht="34.5" customHeight="1" x14ac:dyDescent="0.25">
      <c r="A857" s="394" t="s">
        <v>1350</v>
      </c>
      <c r="B857" s="24" t="s">
        <v>299</v>
      </c>
      <c r="C857" s="24" t="s">
        <v>118</v>
      </c>
      <c r="D857" s="24" t="s">
        <v>267</v>
      </c>
      <c r="E857" s="24"/>
      <c r="F857" s="4">
        <f>F858+F869+F875+F879+F886+F890+F898+F894</f>
        <v>63518.369999999995</v>
      </c>
      <c r="G857" s="388">
        <f>G858+G869+G875+G879+G886+G890+G898+G894</f>
        <v>62591.527000000002</v>
      </c>
      <c r="H857" s="492">
        <f t="shared" si="145"/>
        <v>98.540826850563079</v>
      </c>
    </row>
    <row r="858" spans="1:8" ht="34.5" customHeight="1" x14ac:dyDescent="0.25">
      <c r="A858" s="394" t="s">
        <v>1297</v>
      </c>
      <c r="B858" s="24" t="s">
        <v>299</v>
      </c>
      <c r="C858" s="24" t="s">
        <v>118</v>
      </c>
      <c r="D858" s="24" t="s">
        <v>1201</v>
      </c>
      <c r="E858" s="24"/>
      <c r="F858" s="4">
        <f>F859+F866</f>
        <v>49138.27</v>
      </c>
      <c r="G858" s="388">
        <f>G859+G866</f>
        <v>48572.526000000005</v>
      </c>
      <c r="H858" s="492">
        <f t="shared" si="145"/>
        <v>98.848669275495467</v>
      </c>
    </row>
    <row r="859" spans="1:8" ht="15.75" x14ac:dyDescent="0.25">
      <c r="A859" s="396" t="s">
        <v>800</v>
      </c>
      <c r="B859" s="20" t="s">
        <v>299</v>
      </c>
      <c r="C859" s="20" t="s">
        <v>118</v>
      </c>
      <c r="D859" s="20" t="s">
        <v>1202</v>
      </c>
      <c r="E859" s="20"/>
      <c r="F859" s="6">
        <f>F860+F862+F864</f>
        <v>13252.969999999996</v>
      </c>
      <c r="G859" s="389">
        <f>G860+G862+G864</f>
        <v>13180.616</v>
      </c>
      <c r="H859" s="389">
        <f t="shared" si="145"/>
        <v>99.454054449681877</v>
      </c>
    </row>
    <row r="860" spans="1:8" ht="78.75" x14ac:dyDescent="0.25">
      <c r="A860" s="396" t="s">
        <v>127</v>
      </c>
      <c r="B860" s="20" t="s">
        <v>299</v>
      </c>
      <c r="C860" s="20" t="s">
        <v>118</v>
      </c>
      <c r="D860" s="20" t="s">
        <v>1202</v>
      </c>
      <c r="E860" s="20" t="s">
        <v>128</v>
      </c>
      <c r="F860" s="6">
        <f>F861</f>
        <v>2811.87</v>
      </c>
      <c r="G860" s="389">
        <f>G861</f>
        <v>2785.991</v>
      </c>
      <c r="H860" s="389">
        <f t="shared" si="145"/>
        <v>99.079651619740602</v>
      </c>
    </row>
    <row r="861" spans="1:8" ht="15.75" x14ac:dyDescent="0.25">
      <c r="A861" s="396" t="s">
        <v>208</v>
      </c>
      <c r="B861" s="20" t="s">
        <v>299</v>
      </c>
      <c r="C861" s="20" t="s">
        <v>118</v>
      </c>
      <c r="D861" s="20" t="s">
        <v>1202</v>
      </c>
      <c r="E861" s="20" t="s">
        <v>209</v>
      </c>
      <c r="F861" s="6">
        <f>'Пр.4 ведом.21'!G402</f>
        <v>2811.87</v>
      </c>
      <c r="G861" s="389">
        <f>'Пр.4 ведом.21'!H402</f>
        <v>2785.991</v>
      </c>
      <c r="H861" s="389">
        <f t="shared" si="145"/>
        <v>99.079651619740602</v>
      </c>
    </row>
    <row r="862" spans="1:8" ht="31.5" x14ac:dyDescent="0.25">
      <c r="A862" s="396" t="s">
        <v>131</v>
      </c>
      <c r="B862" s="20" t="s">
        <v>299</v>
      </c>
      <c r="C862" s="20" t="s">
        <v>118</v>
      </c>
      <c r="D862" s="20" t="s">
        <v>1202</v>
      </c>
      <c r="E862" s="20" t="s">
        <v>132</v>
      </c>
      <c r="F862" s="6">
        <f>F863</f>
        <v>10301.199999999997</v>
      </c>
      <c r="G862" s="389">
        <f>G863</f>
        <v>10254.966</v>
      </c>
      <c r="H862" s="389">
        <f t="shared" si="145"/>
        <v>99.551178503475356</v>
      </c>
    </row>
    <row r="863" spans="1:8" ht="31.5" x14ac:dyDescent="0.25">
      <c r="A863" s="396" t="s">
        <v>133</v>
      </c>
      <c r="B863" s="20" t="s">
        <v>299</v>
      </c>
      <c r="C863" s="20" t="s">
        <v>118</v>
      </c>
      <c r="D863" s="20" t="s">
        <v>1202</v>
      </c>
      <c r="E863" s="20" t="s">
        <v>134</v>
      </c>
      <c r="F863" s="6">
        <f>'Пр.4 ведом.21'!G404</f>
        <v>10301.199999999997</v>
      </c>
      <c r="G863" s="389">
        <f>'Пр.4 ведом.21'!H404</f>
        <v>10254.966</v>
      </c>
      <c r="H863" s="389">
        <f t="shared" si="145"/>
        <v>99.551178503475356</v>
      </c>
    </row>
    <row r="864" spans="1:8" ht="15.75" x14ac:dyDescent="0.25">
      <c r="A864" s="396" t="s">
        <v>135</v>
      </c>
      <c r="B864" s="20" t="s">
        <v>299</v>
      </c>
      <c r="C864" s="20" t="s">
        <v>118</v>
      </c>
      <c r="D864" s="20" t="s">
        <v>1202</v>
      </c>
      <c r="E864" s="20" t="s">
        <v>145</v>
      </c>
      <c r="F864" s="6">
        <f t="shared" ref="F864:G864" si="147">F865</f>
        <v>139.9</v>
      </c>
      <c r="G864" s="389">
        <f t="shared" si="147"/>
        <v>139.65899999999999</v>
      </c>
      <c r="H864" s="389">
        <f t="shared" si="145"/>
        <v>99.827734095782688</v>
      </c>
    </row>
    <row r="865" spans="1:8" ht="15.75" x14ac:dyDescent="0.25">
      <c r="A865" s="396" t="s">
        <v>568</v>
      </c>
      <c r="B865" s="20" t="s">
        <v>299</v>
      </c>
      <c r="C865" s="20" t="s">
        <v>118</v>
      </c>
      <c r="D865" s="20" t="s">
        <v>1202</v>
      </c>
      <c r="E865" s="20" t="s">
        <v>138</v>
      </c>
      <c r="F865" s="6">
        <f>'Пр.4 ведом.21'!G406</f>
        <v>139.9</v>
      </c>
      <c r="G865" s="389">
        <f>'Пр.4 ведом.21'!H406</f>
        <v>139.65899999999999</v>
      </c>
      <c r="H865" s="389">
        <f t="shared" si="145"/>
        <v>99.827734095782688</v>
      </c>
    </row>
    <row r="866" spans="1:8" s="191" customFormat="1" ht="29.85" customHeight="1" x14ac:dyDescent="0.25">
      <c r="A866" s="31" t="s">
        <v>1490</v>
      </c>
      <c r="B866" s="20" t="s">
        <v>299</v>
      </c>
      <c r="C866" s="20" t="s">
        <v>118</v>
      </c>
      <c r="D866" s="20" t="s">
        <v>1462</v>
      </c>
      <c r="E866" s="20"/>
      <c r="F866" s="6">
        <f>F867</f>
        <v>35885.300000000003</v>
      </c>
      <c r="G866" s="389">
        <f>G867</f>
        <v>35391.910000000003</v>
      </c>
      <c r="H866" s="389">
        <f t="shared" si="145"/>
        <v>98.625091611328315</v>
      </c>
    </row>
    <row r="867" spans="1:8" s="191" customFormat="1" ht="78.75" x14ac:dyDescent="0.25">
      <c r="A867" s="396" t="s">
        <v>127</v>
      </c>
      <c r="B867" s="20" t="s">
        <v>299</v>
      </c>
      <c r="C867" s="20" t="s">
        <v>118</v>
      </c>
      <c r="D867" s="20" t="s">
        <v>1462</v>
      </c>
      <c r="E867" s="20" t="s">
        <v>128</v>
      </c>
      <c r="F867" s="6">
        <f>F868</f>
        <v>35885.300000000003</v>
      </c>
      <c r="G867" s="389">
        <f>G868</f>
        <v>35391.910000000003</v>
      </c>
      <c r="H867" s="389">
        <f t="shared" si="145"/>
        <v>98.625091611328315</v>
      </c>
    </row>
    <row r="868" spans="1:8" s="191" customFormat="1" ht="15.75" x14ac:dyDescent="0.25">
      <c r="A868" s="396" t="s">
        <v>208</v>
      </c>
      <c r="B868" s="20" t="s">
        <v>299</v>
      </c>
      <c r="C868" s="20" t="s">
        <v>118</v>
      </c>
      <c r="D868" s="20" t="s">
        <v>1462</v>
      </c>
      <c r="E868" s="20" t="s">
        <v>209</v>
      </c>
      <c r="F868" s="6">
        <f>'Пр.4 ведом.21'!G409</f>
        <v>35885.300000000003</v>
      </c>
      <c r="G868" s="389">
        <f>'Пр.4 ведом.21'!H409</f>
        <v>35391.910000000003</v>
      </c>
      <c r="H868" s="389">
        <f t="shared" si="145"/>
        <v>98.625091611328315</v>
      </c>
    </row>
    <row r="869" spans="1:8" ht="31.5" x14ac:dyDescent="0.25">
      <c r="A869" s="201" t="s">
        <v>1299</v>
      </c>
      <c r="B869" s="24" t="s">
        <v>299</v>
      </c>
      <c r="C869" s="24" t="s">
        <v>118</v>
      </c>
      <c r="D869" s="24" t="s">
        <v>1203</v>
      </c>
      <c r="E869" s="24"/>
      <c r="F869" s="4">
        <f>F870</f>
        <v>864.40000000000009</v>
      </c>
      <c r="G869" s="388">
        <f>G870</f>
        <v>864.25600000000009</v>
      </c>
      <c r="H869" s="492">
        <f t="shared" si="145"/>
        <v>99.983341045812125</v>
      </c>
    </row>
    <row r="870" spans="1:8" ht="31.5" x14ac:dyDescent="0.25">
      <c r="A870" s="31" t="s">
        <v>815</v>
      </c>
      <c r="B870" s="20" t="s">
        <v>299</v>
      </c>
      <c r="C870" s="20" t="s">
        <v>118</v>
      </c>
      <c r="D870" s="20" t="s">
        <v>1205</v>
      </c>
      <c r="E870" s="20"/>
      <c r="F870" s="6">
        <f>F871+F873</f>
        <v>864.40000000000009</v>
      </c>
      <c r="G870" s="389">
        <f>G871+G873</f>
        <v>864.25600000000009</v>
      </c>
      <c r="H870" s="389">
        <f t="shared" si="145"/>
        <v>99.983341045812125</v>
      </c>
    </row>
    <row r="871" spans="1:8" ht="78.75" x14ac:dyDescent="0.25">
      <c r="A871" s="396" t="s">
        <v>127</v>
      </c>
      <c r="B871" s="20" t="s">
        <v>299</v>
      </c>
      <c r="C871" s="20" t="s">
        <v>118</v>
      </c>
      <c r="D871" s="20" t="s">
        <v>1205</v>
      </c>
      <c r="E871" s="20" t="s">
        <v>128</v>
      </c>
      <c r="F871" s="6">
        <f>F872</f>
        <v>487.40000000000009</v>
      </c>
      <c r="G871" s="389">
        <f>G872</f>
        <v>487.32100000000003</v>
      </c>
      <c r="H871" s="389">
        <f t="shared" si="145"/>
        <v>99.98379154698398</v>
      </c>
    </row>
    <row r="872" spans="1:8" ht="15.75" x14ac:dyDescent="0.25">
      <c r="A872" s="396" t="s">
        <v>208</v>
      </c>
      <c r="B872" s="20" t="s">
        <v>299</v>
      </c>
      <c r="C872" s="20" t="s">
        <v>118</v>
      </c>
      <c r="D872" s="20" t="s">
        <v>1205</v>
      </c>
      <c r="E872" s="20" t="s">
        <v>209</v>
      </c>
      <c r="F872" s="6">
        <f>'Пр.4 ведом.21'!G413</f>
        <v>487.40000000000009</v>
      </c>
      <c r="G872" s="389">
        <f>'Пр.4 ведом.21'!H413</f>
        <v>487.32100000000003</v>
      </c>
      <c r="H872" s="389">
        <f t="shared" si="145"/>
        <v>99.98379154698398</v>
      </c>
    </row>
    <row r="873" spans="1:8" ht="31.5" hidden="1" x14ac:dyDescent="0.25">
      <c r="A873" s="396" t="s">
        <v>131</v>
      </c>
      <c r="B873" s="20" t="s">
        <v>299</v>
      </c>
      <c r="C873" s="20" t="s">
        <v>118</v>
      </c>
      <c r="D873" s="20" t="s">
        <v>1205</v>
      </c>
      <c r="E873" s="20" t="s">
        <v>132</v>
      </c>
      <c r="F873" s="6">
        <f>F874</f>
        <v>377</v>
      </c>
      <c r="G873" s="389">
        <f>G874</f>
        <v>376.935</v>
      </c>
      <c r="H873" s="389">
        <f t="shared" si="145"/>
        <v>99.982758620689665</v>
      </c>
    </row>
    <row r="874" spans="1:8" ht="31.5" hidden="1" x14ac:dyDescent="0.25">
      <c r="A874" s="396" t="s">
        <v>133</v>
      </c>
      <c r="B874" s="20" t="s">
        <v>299</v>
      </c>
      <c r="C874" s="20" t="s">
        <v>118</v>
      </c>
      <c r="D874" s="20" t="s">
        <v>1205</v>
      </c>
      <c r="E874" s="20" t="s">
        <v>134</v>
      </c>
      <c r="F874" s="6">
        <f>'Пр.4 ведом.21'!G415</f>
        <v>377</v>
      </c>
      <c r="G874" s="389">
        <f>'Пр.4 ведом.21'!H415</f>
        <v>376.935</v>
      </c>
      <c r="H874" s="389">
        <f t="shared" si="145"/>
        <v>99.982758620689665</v>
      </c>
    </row>
    <row r="875" spans="1:8" ht="31.5" x14ac:dyDescent="0.25">
      <c r="A875" s="394" t="s">
        <v>946</v>
      </c>
      <c r="B875" s="24" t="s">
        <v>299</v>
      </c>
      <c r="C875" s="24" t="s">
        <v>118</v>
      </c>
      <c r="D875" s="24" t="s">
        <v>1206</v>
      </c>
      <c r="E875" s="24"/>
      <c r="F875" s="4">
        <f t="shared" ref="F875:G877" si="148">F876</f>
        <v>955.00000000000011</v>
      </c>
      <c r="G875" s="388">
        <f t="shared" si="148"/>
        <v>954.75</v>
      </c>
      <c r="H875" s="492">
        <f t="shared" si="145"/>
        <v>99.973821989528787</v>
      </c>
    </row>
    <row r="876" spans="1:8" ht="47.25" x14ac:dyDescent="0.25">
      <c r="A876" s="396" t="s">
        <v>838</v>
      </c>
      <c r="B876" s="20" t="s">
        <v>299</v>
      </c>
      <c r="C876" s="20" t="s">
        <v>118</v>
      </c>
      <c r="D876" s="20" t="s">
        <v>1207</v>
      </c>
      <c r="E876" s="20"/>
      <c r="F876" s="6">
        <f t="shared" si="148"/>
        <v>955.00000000000011</v>
      </c>
      <c r="G876" s="389">
        <f t="shared" si="148"/>
        <v>954.75</v>
      </c>
      <c r="H876" s="389">
        <f t="shared" si="145"/>
        <v>99.973821989528787</v>
      </c>
    </row>
    <row r="877" spans="1:8" ht="78.75" x14ac:dyDescent="0.25">
      <c r="A877" s="396" t="s">
        <v>127</v>
      </c>
      <c r="B877" s="20" t="s">
        <v>299</v>
      </c>
      <c r="C877" s="20" t="s">
        <v>118</v>
      </c>
      <c r="D877" s="20" t="s">
        <v>1207</v>
      </c>
      <c r="E877" s="20" t="s">
        <v>128</v>
      </c>
      <c r="F877" s="6">
        <f t="shared" si="148"/>
        <v>955.00000000000011</v>
      </c>
      <c r="G877" s="389">
        <f t="shared" si="148"/>
        <v>954.75</v>
      </c>
      <c r="H877" s="389">
        <f t="shared" si="145"/>
        <v>99.973821989528787</v>
      </c>
    </row>
    <row r="878" spans="1:8" ht="31.5" x14ac:dyDescent="0.25">
      <c r="A878" s="396" t="s">
        <v>129</v>
      </c>
      <c r="B878" s="20" t="s">
        <v>299</v>
      </c>
      <c r="C878" s="20" t="s">
        <v>118</v>
      </c>
      <c r="D878" s="20" t="s">
        <v>1207</v>
      </c>
      <c r="E878" s="20" t="s">
        <v>209</v>
      </c>
      <c r="F878" s="6">
        <f>'Пр.4 ведом.21'!G419</f>
        <v>955.00000000000011</v>
      </c>
      <c r="G878" s="389">
        <f>'Пр.4 ведом.21'!H419</f>
        <v>954.75</v>
      </c>
      <c r="H878" s="389">
        <f t="shared" si="145"/>
        <v>99.973821989528787</v>
      </c>
    </row>
    <row r="879" spans="1:8" ht="47.25" x14ac:dyDescent="0.25">
      <c r="A879" s="202" t="s">
        <v>899</v>
      </c>
      <c r="B879" s="24" t="s">
        <v>299</v>
      </c>
      <c r="C879" s="24" t="s">
        <v>118</v>
      </c>
      <c r="D879" s="24" t="s">
        <v>1208</v>
      </c>
      <c r="E879" s="24"/>
      <c r="F879" s="4">
        <f>F880+F883</f>
        <v>2442</v>
      </c>
      <c r="G879" s="388">
        <f>G880+G883</f>
        <v>2081.2950000000001</v>
      </c>
      <c r="H879" s="492">
        <f t="shared" si="145"/>
        <v>85.229115479115478</v>
      </c>
    </row>
    <row r="880" spans="1:8" s="191" customFormat="1" ht="94.5" x14ac:dyDescent="0.25">
      <c r="A880" s="31" t="s">
        <v>293</v>
      </c>
      <c r="B880" s="20" t="s">
        <v>299</v>
      </c>
      <c r="C880" s="20" t="s">
        <v>118</v>
      </c>
      <c r="D880" s="20" t="s">
        <v>1402</v>
      </c>
      <c r="E880" s="20"/>
      <c r="F880" s="6">
        <f>F881</f>
        <v>2100.6</v>
      </c>
      <c r="G880" s="389">
        <f>G881</f>
        <v>1868.6410000000001</v>
      </c>
      <c r="H880" s="389">
        <f t="shared" si="145"/>
        <v>88.957488336665719</v>
      </c>
    </row>
    <row r="881" spans="1:8" s="191" customFormat="1" ht="78.75" x14ac:dyDescent="0.25">
      <c r="A881" s="396" t="s">
        <v>127</v>
      </c>
      <c r="B881" s="20" t="s">
        <v>299</v>
      </c>
      <c r="C881" s="20" t="s">
        <v>118</v>
      </c>
      <c r="D881" s="20" t="s">
        <v>1402</v>
      </c>
      <c r="E881" s="20" t="s">
        <v>128</v>
      </c>
      <c r="F881" s="6">
        <f>F882</f>
        <v>2100.6</v>
      </c>
      <c r="G881" s="389">
        <f>G882</f>
        <v>1868.6410000000001</v>
      </c>
      <c r="H881" s="389">
        <f t="shared" si="145"/>
        <v>88.957488336665719</v>
      </c>
    </row>
    <row r="882" spans="1:8" s="191" customFormat="1" ht="15.75" x14ac:dyDescent="0.25">
      <c r="A882" s="396" t="s">
        <v>208</v>
      </c>
      <c r="B882" s="20" t="s">
        <v>299</v>
      </c>
      <c r="C882" s="20" t="s">
        <v>118</v>
      </c>
      <c r="D882" s="20" t="s">
        <v>1402</v>
      </c>
      <c r="E882" s="20" t="s">
        <v>209</v>
      </c>
      <c r="F882" s="6">
        <f>'Пр.4 ведом.21'!G423</f>
        <v>2100.6</v>
      </c>
      <c r="G882" s="389">
        <f>'Пр.4 ведом.21'!H423</f>
        <v>1868.6410000000001</v>
      </c>
      <c r="H882" s="389">
        <f t="shared" si="145"/>
        <v>88.957488336665719</v>
      </c>
    </row>
    <row r="883" spans="1:8" s="191" customFormat="1" ht="78.75" x14ac:dyDescent="0.25">
      <c r="A883" s="396" t="s">
        <v>331</v>
      </c>
      <c r="B883" s="20" t="s">
        <v>299</v>
      </c>
      <c r="C883" s="20" t="s">
        <v>118</v>
      </c>
      <c r="D883" s="20" t="s">
        <v>1289</v>
      </c>
      <c r="E883" s="20"/>
      <c r="F883" s="26">
        <f>F884</f>
        <v>341.4</v>
      </c>
      <c r="G883" s="397">
        <f>G884</f>
        <v>212.654</v>
      </c>
      <c r="H883" s="389">
        <f t="shared" si="145"/>
        <v>62.288810779144697</v>
      </c>
    </row>
    <row r="884" spans="1:8" s="191" customFormat="1" ht="78.75" x14ac:dyDescent="0.25">
      <c r="A884" s="396" t="s">
        <v>127</v>
      </c>
      <c r="B884" s="20" t="s">
        <v>299</v>
      </c>
      <c r="C884" s="20" t="s">
        <v>118</v>
      </c>
      <c r="D884" s="20" t="s">
        <v>1289</v>
      </c>
      <c r="E884" s="20" t="s">
        <v>128</v>
      </c>
      <c r="F884" s="26">
        <f>F885</f>
        <v>341.4</v>
      </c>
      <c r="G884" s="397">
        <f>G885</f>
        <v>212.654</v>
      </c>
      <c r="H884" s="389">
        <f t="shared" si="145"/>
        <v>62.288810779144697</v>
      </c>
    </row>
    <row r="885" spans="1:8" s="191" customFormat="1" ht="15.75" x14ac:dyDescent="0.25">
      <c r="A885" s="396" t="s">
        <v>208</v>
      </c>
      <c r="B885" s="20" t="s">
        <v>299</v>
      </c>
      <c r="C885" s="20" t="s">
        <v>118</v>
      </c>
      <c r="D885" s="20" t="s">
        <v>1289</v>
      </c>
      <c r="E885" s="20" t="s">
        <v>209</v>
      </c>
      <c r="F885" s="26">
        <f>'Пр.4 ведом.21'!G426</f>
        <v>341.4</v>
      </c>
      <c r="G885" s="397">
        <f>'Пр.4 ведом.21'!H426</f>
        <v>212.654</v>
      </c>
      <c r="H885" s="389">
        <f t="shared" si="145"/>
        <v>62.288810779144697</v>
      </c>
    </row>
    <row r="886" spans="1:8" s="191" customFormat="1" ht="31.5" x14ac:dyDescent="0.25">
      <c r="A886" s="394" t="s">
        <v>901</v>
      </c>
      <c r="B886" s="24" t="s">
        <v>299</v>
      </c>
      <c r="C886" s="24" t="s">
        <v>118</v>
      </c>
      <c r="D886" s="24" t="s">
        <v>1213</v>
      </c>
      <c r="E886" s="24"/>
      <c r="F886" s="4">
        <f t="shared" ref="F886:G888" si="149">F887</f>
        <v>50</v>
      </c>
      <c r="G886" s="388">
        <f t="shared" si="149"/>
        <v>50</v>
      </c>
      <c r="H886" s="492">
        <f t="shared" si="145"/>
        <v>100</v>
      </c>
    </row>
    <row r="887" spans="1:8" s="191" customFormat="1" ht="31.5" x14ac:dyDescent="0.25">
      <c r="A887" s="396" t="s">
        <v>820</v>
      </c>
      <c r="B887" s="20" t="s">
        <v>299</v>
      </c>
      <c r="C887" s="20" t="s">
        <v>118</v>
      </c>
      <c r="D887" s="20" t="s">
        <v>1214</v>
      </c>
      <c r="E887" s="20"/>
      <c r="F887" s="6">
        <f t="shared" si="149"/>
        <v>50</v>
      </c>
      <c r="G887" s="389">
        <f t="shared" si="149"/>
        <v>50</v>
      </c>
      <c r="H887" s="389">
        <f t="shared" si="145"/>
        <v>100</v>
      </c>
    </row>
    <row r="888" spans="1:8" s="191" customFormat="1" ht="31.5" x14ac:dyDescent="0.25">
      <c r="A888" s="396" t="s">
        <v>131</v>
      </c>
      <c r="B888" s="20" t="s">
        <v>299</v>
      </c>
      <c r="C888" s="20" t="s">
        <v>118</v>
      </c>
      <c r="D888" s="20" t="s">
        <v>1214</v>
      </c>
      <c r="E888" s="20" t="s">
        <v>132</v>
      </c>
      <c r="F888" s="6">
        <f t="shared" si="149"/>
        <v>50</v>
      </c>
      <c r="G888" s="389">
        <f t="shared" si="149"/>
        <v>50</v>
      </c>
      <c r="H888" s="389">
        <f t="shared" si="145"/>
        <v>100</v>
      </c>
    </row>
    <row r="889" spans="1:8" s="191" customFormat="1" ht="31.5" x14ac:dyDescent="0.25">
      <c r="A889" s="396" t="s">
        <v>133</v>
      </c>
      <c r="B889" s="20" t="s">
        <v>299</v>
      </c>
      <c r="C889" s="20" t="s">
        <v>118</v>
      </c>
      <c r="D889" s="20" t="s">
        <v>1214</v>
      </c>
      <c r="E889" s="20" t="s">
        <v>134</v>
      </c>
      <c r="F889" s="6">
        <f>'Пр.4 ведом.21'!G430</f>
        <v>50</v>
      </c>
      <c r="G889" s="389">
        <f>'Пр.4 ведом.21'!H430</f>
        <v>50</v>
      </c>
      <c r="H889" s="389">
        <f t="shared" si="145"/>
        <v>100</v>
      </c>
    </row>
    <row r="890" spans="1:8" s="191" customFormat="1" ht="31.5" x14ac:dyDescent="0.25">
      <c r="A890" s="394" t="s">
        <v>1009</v>
      </c>
      <c r="B890" s="24" t="s">
        <v>299</v>
      </c>
      <c r="C890" s="24" t="s">
        <v>118</v>
      </c>
      <c r="D890" s="24" t="s">
        <v>1215</v>
      </c>
      <c r="E890" s="24"/>
      <c r="F890" s="4">
        <f t="shared" ref="F890:G892" si="150">F891</f>
        <v>68.7</v>
      </c>
      <c r="G890" s="388">
        <f t="shared" si="150"/>
        <v>68.7</v>
      </c>
      <c r="H890" s="492">
        <f t="shared" si="145"/>
        <v>100</v>
      </c>
    </row>
    <row r="891" spans="1:8" s="191" customFormat="1" ht="31.5" x14ac:dyDescent="0.25">
      <c r="A891" s="396" t="s">
        <v>1465</v>
      </c>
      <c r="B891" s="20" t="s">
        <v>299</v>
      </c>
      <c r="C891" s="20" t="s">
        <v>118</v>
      </c>
      <c r="D891" s="20" t="s">
        <v>1216</v>
      </c>
      <c r="E891" s="20"/>
      <c r="F891" s="6">
        <f t="shared" si="150"/>
        <v>68.7</v>
      </c>
      <c r="G891" s="389">
        <f t="shared" si="150"/>
        <v>68.7</v>
      </c>
      <c r="H891" s="389">
        <f t="shared" si="145"/>
        <v>100</v>
      </c>
    </row>
    <row r="892" spans="1:8" s="191" customFormat="1" ht="31.5" x14ac:dyDescent="0.25">
      <c r="A892" s="396" t="s">
        <v>131</v>
      </c>
      <c r="B892" s="20" t="s">
        <v>299</v>
      </c>
      <c r="C892" s="20" t="s">
        <v>118</v>
      </c>
      <c r="D892" s="20" t="s">
        <v>1216</v>
      </c>
      <c r="E892" s="20" t="s">
        <v>132</v>
      </c>
      <c r="F892" s="6">
        <f t="shared" si="150"/>
        <v>68.7</v>
      </c>
      <c r="G892" s="389">
        <f t="shared" si="150"/>
        <v>68.7</v>
      </c>
      <c r="H892" s="389">
        <f t="shared" si="145"/>
        <v>100</v>
      </c>
    </row>
    <row r="893" spans="1:8" s="191" customFormat="1" ht="31.5" x14ac:dyDescent="0.25">
      <c r="A893" s="396" t="s">
        <v>133</v>
      </c>
      <c r="B893" s="20" t="s">
        <v>299</v>
      </c>
      <c r="C893" s="20" t="s">
        <v>118</v>
      </c>
      <c r="D893" s="20" t="s">
        <v>1216</v>
      </c>
      <c r="E893" s="20" t="s">
        <v>134</v>
      </c>
      <c r="F893" s="6">
        <f>'Пр.4 ведом.21'!G434</f>
        <v>68.7</v>
      </c>
      <c r="G893" s="389">
        <f>'Пр.4 ведом.21'!H434</f>
        <v>68.7</v>
      </c>
      <c r="H893" s="389">
        <f t="shared" si="145"/>
        <v>100</v>
      </c>
    </row>
    <row r="894" spans="1:8" s="387" customFormat="1" ht="31.5" hidden="1" x14ac:dyDescent="0.25">
      <c r="A894" s="34" t="s">
        <v>1566</v>
      </c>
      <c r="B894" s="395" t="s">
        <v>299</v>
      </c>
      <c r="C894" s="395" t="s">
        <v>118</v>
      </c>
      <c r="D894" s="395" t="s">
        <v>1568</v>
      </c>
      <c r="E894" s="395"/>
      <c r="F894" s="388">
        <f t="shared" ref="F894:G896" si="151">F895</f>
        <v>0</v>
      </c>
      <c r="G894" s="388">
        <f t="shared" si="151"/>
        <v>0</v>
      </c>
      <c r="H894" s="389" t="e">
        <f t="shared" si="145"/>
        <v>#DIV/0!</v>
      </c>
    </row>
    <row r="895" spans="1:8" s="387" customFormat="1" ht="63" hidden="1" x14ac:dyDescent="0.25">
      <c r="A895" s="31" t="s">
        <v>1567</v>
      </c>
      <c r="B895" s="392" t="s">
        <v>299</v>
      </c>
      <c r="C895" s="392" t="s">
        <v>118</v>
      </c>
      <c r="D895" s="392" t="s">
        <v>1569</v>
      </c>
      <c r="E895" s="392"/>
      <c r="F895" s="389">
        <f t="shared" si="151"/>
        <v>0</v>
      </c>
      <c r="G895" s="389">
        <f t="shared" si="151"/>
        <v>0</v>
      </c>
      <c r="H895" s="389" t="e">
        <f t="shared" si="145"/>
        <v>#DIV/0!</v>
      </c>
    </row>
    <row r="896" spans="1:8" s="387" customFormat="1" ht="31.5" hidden="1" x14ac:dyDescent="0.25">
      <c r="A896" s="396" t="s">
        <v>131</v>
      </c>
      <c r="B896" s="392" t="s">
        <v>299</v>
      </c>
      <c r="C896" s="392" t="s">
        <v>118</v>
      </c>
      <c r="D896" s="392" t="s">
        <v>1569</v>
      </c>
      <c r="E896" s="392" t="s">
        <v>132</v>
      </c>
      <c r="F896" s="389">
        <f t="shared" si="151"/>
        <v>0</v>
      </c>
      <c r="G896" s="389">
        <f t="shared" si="151"/>
        <v>0</v>
      </c>
      <c r="H896" s="389" t="e">
        <f t="shared" si="145"/>
        <v>#DIV/0!</v>
      </c>
    </row>
    <row r="897" spans="1:8" s="387" customFormat="1" ht="31.5" hidden="1" x14ac:dyDescent="0.25">
      <c r="A897" s="396" t="s">
        <v>133</v>
      </c>
      <c r="B897" s="392" t="s">
        <v>299</v>
      </c>
      <c r="C897" s="392" t="s">
        <v>118</v>
      </c>
      <c r="D897" s="392" t="s">
        <v>1569</v>
      </c>
      <c r="E897" s="392" t="s">
        <v>134</v>
      </c>
      <c r="F897" s="389">
        <f>'Пр.4 ведом.21'!G438</f>
        <v>0</v>
      </c>
      <c r="G897" s="389">
        <f>'Пр.4 ведом.21'!H438</f>
        <v>0</v>
      </c>
      <c r="H897" s="389" t="e">
        <f t="shared" si="145"/>
        <v>#DIV/0!</v>
      </c>
    </row>
    <row r="898" spans="1:8" s="191" customFormat="1" ht="31.5" x14ac:dyDescent="0.25">
      <c r="A898" s="195" t="s">
        <v>1177</v>
      </c>
      <c r="B898" s="24" t="s">
        <v>299</v>
      </c>
      <c r="C898" s="24" t="s">
        <v>118</v>
      </c>
      <c r="D898" s="24" t="s">
        <v>1211</v>
      </c>
      <c r="E898" s="24"/>
      <c r="F898" s="21">
        <f>F899+F902</f>
        <v>10000</v>
      </c>
      <c r="G898" s="393">
        <f>G899+G902</f>
        <v>10000</v>
      </c>
      <c r="H898" s="492">
        <f t="shared" si="145"/>
        <v>100</v>
      </c>
    </row>
    <row r="899" spans="1:8" s="191" customFormat="1" ht="15.75" hidden="1" x14ac:dyDescent="0.25">
      <c r="A899" s="98" t="s">
        <v>1184</v>
      </c>
      <c r="B899" s="20" t="s">
        <v>299</v>
      </c>
      <c r="C899" s="20" t="s">
        <v>118</v>
      </c>
      <c r="D899" s="20" t="s">
        <v>1212</v>
      </c>
      <c r="E899" s="20"/>
      <c r="F899" s="26">
        <f t="shared" ref="F899:G899" si="152">F900</f>
        <v>0</v>
      </c>
      <c r="G899" s="397">
        <f t="shared" si="152"/>
        <v>0</v>
      </c>
      <c r="H899" s="389" t="e">
        <f t="shared" si="145"/>
        <v>#DIV/0!</v>
      </c>
    </row>
    <row r="900" spans="1:8" s="191" customFormat="1" ht="31.5" hidden="1" x14ac:dyDescent="0.25">
      <c r="A900" s="396" t="s">
        <v>131</v>
      </c>
      <c r="B900" s="20" t="s">
        <v>299</v>
      </c>
      <c r="C900" s="20" t="s">
        <v>118</v>
      </c>
      <c r="D900" s="20" t="s">
        <v>1212</v>
      </c>
      <c r="E900" s="20" t="s">
        <v>132</v>
      </c>
      <c r="F900" s="26">
        <f>F901</f>
        <v>0</v>
      </c>
      <c r="G900" s="397">
        <f>G901</f>
        <v>0</v>
      </c>
      <c r="H900" s="389" t="e">
        <f t="shared" si="145"/>
        <v>#DIV/0!</v>
      </c>
    </row>
    <row r="901" spans="1:8" s="191" customFormat="1" ht="31.5" hidden="1" x14ac:dyDescent="0.25">
      <c r="A901" s="396" t="s">
        <v>133</v>
      </c>
      <c r="B901" s="20" t="s">
        <v>299</v>
      </c>
      <c r="C901" s="20" t="s">
        <v>118</v>
      </c>
      <c r="D901" s="20" t="s">
        <v>1212</v>
      </c>
      <c r="E901" s="20" t="s">
        <v>134</v>
      </c>
      <c r="F901" s="26">
        <f>'Пр.4 ведом.21'!G442</f>
        <v>0</v>
      </c>
      <c r="G901" s="397">
        <f>'Пр.4 ведом.21'!H442</f>
        <v>0</v>
      </c>
      <c r="H901" s="389" t="e">
        <f t="shared" si="145"/>
        <v>#DIV/0!</v>
      </c>
    </row>
    <row r="902" spans="1:8" ht="42.75" customHeight="1" x14ac:dyDescent="0.25">
      <c r="A902" s="463" t="s">
        <v>1652</v>
      </c>
      <c r="B902" s="392" t="s">
        <v>299</v>
      </c>
      <c r="C902" s="392" t="s">
        <v>118</v>
      </c>
      <c r="D902" s="392" t="s">
        <v>1651</v>
      </c>
      <c r="E902" s="392"/>
      <c r="F902" s="397">
        <f>F903</f>
        <v>10000</v>
      </c>
      <c r="G902" s="397">
        <f>G903</f>
        <v>10000</v>
      </c>
      <c r="H902" s="389">
        <f t="shared" si="145"/>
        <v>100</v>
      </c>
    </row>
    <row r="903" spans="1:8" ht="15.75" customHeight="1" x14ac:dyDescent="0.25">
      <c r="A903" s="396" t="s">
        <v>131</v>
      </c>
      <c r="B903" s="392" t="s">
        <v>299</v>
      </c>
      <c r="C903" s="392" t="s">
        <v>118</v>
      </c>
      <c r="D903" s="392" t="s">
        <v>1651</v>
      </c>
      <c r="E903" s="392" t="s">
        <v>132</v>
      </c>
      <c r="F903" s="26">
        <f>F904</f>
        <v>10000</v>
      </c>
      <c r="G903" s="397">
        <f>G904</f>
        <v>10000</v>
      </c>
      <c r="H903" s="389">
        <f t="shared" si="145"/>
        <v>100</v>
      </c>
    </row>
    <row r="904" spans="1:8" ht="31.5" x14ac:dyDescent="0.25">
      <c r="A904" s="396" t="s">
        <v>133</v>
      </c>
      <c r="B904" s="392" t="s">
        <v>299</v>
      </c>
      <c r="C904" s="392" t="s">
        <v>118</v>
      </c>
      <c r="D904" s="392" t="s">
        <v>1651</v>
      </c>
      <c r="E904" s="392" t="s">
        <v>134</v>
      </c>
      <c r="F904" s="26">
        <f>'Пр.4 ведом.21'!G446</f>
        <v>10000</v>
      </c>
      <c r="G904" s="397">
        <f>'Пр.4 ведом.21'!H446</f>
        <v>10000</v>
      </c>
      <c r="H904" s="389">
        <f t="shared" si="145"/>
        <v>100</v>
      </c>
    </row>
    <row r="905" spans="1:8" ht="47.25" hidden="1" x14ac:dyDescent="0.25">
      <c r="A905" s="34" t="s">
        <v>1356</v>
      </c>
      <c r="B905" s="24" t="s">
        <v>299</v>
      </c>
      <c r="C905" s="24" t="s">
        <v>118</v>
      </c>
      <c r="D905" s="24" t="s">
        <v>324</v>
      </c>
      <c r="E905" s="24"/>
      <c r="F905" s="333">
        <f t="shared" ref="F905:G908" si="153">F906</f>
        <v>0</v>
      </c>
      <c r="G905" s="333">
        <f t="shared" si="153"/>
        <v>0</v>
      </c>
      <c r="H905" s="389" t="e">
        <f t="shared" ref="H905:H968" si="154">G905/F905*100</f>
        <v>#DIV/0!</v>
      </c>
    </row>
    <row r="906" spans="1:8" ht="63" hidden="1" x14ac:dyDescent="0.25">
      <c r="A906" s="34" t="s">
        <v>1024</v>
      </c>
      <c r="B906" s="24" t="s">
        <v>299</v>
      </c>
      <c r="C906" s="24" t="s">
        <v>118</v>
      </c>
      <c r="D906" s="24" t="s">
        <v>933</v>
      </c>
      <c r="E906" s="24"/>
      <c r="F906" s="4">
        <f t="shared" si="153"/>
        <v>0</v>
      </c>
      <c r="G906" s="388">
        <f t="shared" si="153"/>
        <v>0</v>
      </c>
      <c r="H906" s="389" t="e">
        <f t="shared" si="154"/>
        <v>#DIV/0!</v>
      </c>
    </row>
    <row r="907" spans="1:8" ht="47.25" hidden="1" x14ac:dyDescent="0.25">
      <c r="A907" s="31" t="s">
        <v>1080</v>
      </c>
      <c r="B907" s="20" t="s">
        <v>299</v>
      </c>
      <c r="C907" s="20" t="s">
        <v>118</v>
      </c>
      <c r="D907" s="20" t="s">
        <v>1025</v>
      </c>
      <c r="E907" s="20"/>
      <c r="F907" s="6">
        <f t="shared" si="153"/>
        <v>0</v>
      </c>
      <c r="G907" s="389">
        <f t="shared" si="153"/>
        <v>0</v>
      </c>
      <c r="H907" s="389" t="e">
        <f t="shared" si="154"/>
        <v>#DIV/0!</v>
      </c>
    </row>
    <row r="908" spans="1:8" ht="31.5" hidden="1" x14ac:dyDescent="0.25">
      <c r="A908" s="396" t="s">
        <v>131</v>
      </c>
      <c r="B908" s="20" t="s">
        <v>299</v>
      </c>
      <c r="C908" s="20" t="s">
        <v>118</v>
      </c>
      <c r="D908" s="20" t="s">
        <v>1025</v>
      </c>
      <c r="E908" s="20" t="s">
        <v>132</v>
      </c>
      <c r="F908" s="6">
        <f t="shared" si="153"/>
        <v>0</v>
      </c>
      <c r="G908" s="389">
        <f t="shared" si="153"/>
        <v>0</v>
      </c>
      <c r="H908" s="389" t="e">
        <f t="shared" si="154"/>
        <v>#DIV/0!</v>
      </c>
    </row>
    <row r="909" spans="1:8" ht="31.5" hidden="1" x14ac:dyDescent="0.25">
      <c r="A909" s="396" t="s">
        <v>133</v>
      </c>
      <c r="B909" s="20" t="s">
        <v>299</v>
      </c>
      <c r="C909" s="20" t="s">
        <v>118</v>
      </c>
      <c r="D909" s="20" t="s">
        <v>1025</v>
      </c>
      <c r="E909" s="20" t="s">
        <v>134</v>
      </c>
      <c r="F909" s="6">
        <f>'Пр.4 ведом.21'!G451</f>
        <v>0</v>
      </c>
      <c r="G909" s="389">
        <f>'Пр.4 ведом.21'!H451</f>
        <v>0</v>
      </c>
      <c r="H909" s="389" t="e">
        <f t="shared" si="154"/>
        <v>#DIV/0!</v>
      </c>
    </row>
    <row r="910" spans="1:8" ht="47.25" x14ac:dyDescent="0.25">
      <c r="A910" s="400" t="s">
        <v>1351</v>
      </c>
      <c r="B910" s="24" t="s">
        <v>299</v>
      </c>
      <c r="C910" s="24" t="s">
        <v>118</v>
      </c>
      <c r="D910" s="24" t="s">
        <v>705</v>
      </c>
      <c r="E910" s="206"/>
      <c r="F910" s="4">
        <f t="shared" ref="F910:G910" si="155">F911</f>
        <v>896</v>
      </c>
      <c r="G910" s="388">
        <f t="shared" si="155"/>
        <v>895.78499999999997</v>
      </c>
      <c r="H910" s="492">
        <f t="shared" si="154"/>
        <v>99.976004464285708</v>
      </c>
    </row>
    <row r="911" spans="1:8" ht="47.25" x14ac:dyDescent="0.25">
      <c r="A911" s="400" t="s">
        <v>889</v>
      </c>
      <c r="B911" s="24" t="s">
        <v>299</v>
      </c>
      <c r="C911" s="24" t="s">
        <v>118</v>
      </c>
      <c r="D911" s="24" t="s">
        <v>887</v>
      </c>
      <c r="E911" s="206"/>
      <c r="F911" s="4">
        <f t="shared" ref="F911:G913" si="156">F912</f>
        <v>896</v>
      </c>
      <c r="G911" s="388">
        <f t="shared" si="156"/>
        <v>895.78499999999997</v>
      </c>
      <c r="H911" s="492">
        <f t="shared" si="154"/>
        <v>99.976004464285708</v>
      </c>
    </row>
    <row r="912" spans="1:8" ht="47.25" x14ac:dyDescent="0.25">
      <c r="A912" s="98" t="s">
        <v>1021</v>
      </c>
      <c r="B912" s="20" t="s">
        <v>299</v>
      </c>
      <c r="C912" s="20" t="s">
        <v>118</v>
      </c>
      <c r="D912" s="20" t="s">
        <v>888</v>
      </c>
      <c r="E912" s="32"/>
      <c r="F912" s="331">
        <f t="shared" si="156"/>
        <v>896</v>
      </c>
      <c r="G912" s="331">
        <f t="shared" si="156"/>
        <v>895.78499999999997</v>
      </c>
      <c r="H912" s="389">
        <f t="shared" si="154"/>
        <v>99.976004464285708</v>
      </c>
    </row>
    <row r="913" spans="1:8" ht="31.5" x14ac:dyDescent="0.25">
      <c r="A913" s="396" t="s">
        <v>131</v>
      </c>
      <c r="B913" s="20" t="s">
        <v>299</v>
      </c>
      <c r="C913" s="20" t="s">
        <v>118</v>
      </c>
      <c r="D913" s="20" t="s">
        <v>888</v>
      </c>
      <c r="E913" s="32" t="s">
        <v>132</v>
      </c>
      <c r="F913" s="6">
        <f t="shared" si="156"/>
        <v>896</v>
      </c>
      <c r="G913" s="389">
        <f t="shared" si="156"/>
        <v>895.78499999999997</v>
      </c>
      <c r="H913" s="389">
        <f t="shared" si="154"/>
        <v>99.976004464285708</v>
      </c>
    </row>
    <row r="914" spans="1:8" ht="31.5" x14ac:dyDescent="0.25">
      <c r="A914" s="396" t="s">
        <v>133</v>
      </c>
      <c r="B914" s="20" t="s">
        <v>299</v>
      </c>
      <c r="C914" s="20" t="s">
        <v>118</v>
      </c>
      <c r="D914" s="20" t="s">
        <v>888</v>
      </c>
      <c r="E914" s="32" t="s">
        <v>134</v>
      </c>
      <c r="F914" s="6">
        <f>'Пр.4 ведом.21'!G456</f>
        <v>896</v>
      </c>
      <c r="G914" s="389">
        <f>'Пр.4 ведом.21'!H456</f>
        <v>895.78499999999997</v>
      </c>
      <c r="H914" s="389">
        <f t="shared" si="154"/>
        <v>99.976004464285708</v>
      </c>
    </row>
    <row r="915" spans="1:8" s="191" customFormat="1" ht="31.5" x14ac:dyDescent="0.25">
      <c r="A915" s="394" t="s">
        <v>333</v>
      </c>
      <c r="B915" s="24" t="s">
        <v>299</v>
      </c>
      <c r="C915" s="24" t="s">
        <v>150</v>
      </c>
      <c r="D915" s="24"/>
      <c r="E915" s="32"/>
      <c r="F915" s="4">
        <f>F916+F929+F950+F956</f>
        <v>20822.194099999997</v>
      </c>
      <c r="G915" s="388">
        <f>G916+G929+G950+G956</f>
        <v>20770.264999999999</v>
      </c>
      <c r="H915" s="492">
        <f t="shared" si="154"/>
        <v>99.75060697373867</v>
      </c>
    </row>
    <row r="916" spans="1:8" s="191" customFormat="1" ht="31.5" x14ac:dyDescent="0.25">
      <c r="A916" s="394" t="s">
        <v>916</v>
      </c>
      <c r="B916" s="24" t="s">
        <v>299</v>
      </c>
      <c r="C916" s="24" t="s">
        <v>150</v>
      </c>
      <c r="D916" s="24" t="s">
        <v>857</v>
      </c>
      <c r="E916" s="32"/>
      <c r="F916" s="4">
        <f>F917</f>
        <v>7046.3579999999993</v>
      </c>
      <c r="G916" s="388">
        <f>G917</f>
        <v>7042.1809999999996</v>
      </c>
      <c r="H916" s="492">
        <f t="shared" si="154"/>
        <v>99.940721149847917</v>
      </c>
    </row>
    <row r="917" spans="1:8" s="191" customFormat="1" ht="15.75" x14ac:dyDescent="0.25">
      <c r="A917" s="394" t="s">
        <v>917</v>
      </c>
      <c r="B917" s="24" t="s">
        <v>299</v>
      </c>
      <c r="C917" s="24" t="s">
        <v>150</v>
      </c>
      <c r="D917" s="24" t="s">
        <v>858</v>
      </c>
      <c r="E917" s="32"/>
      <c r="F917" s="4">
        <f>F918+F923+F926</f>
        <v>7046.3579999999993</v>
      </c>
      <c r="G917" s="388">
        <f>G918+G923+G926</f>
        <v>7042.1809999999996</v>
      </c>
      <c r="H917" s="492">
        <f t="shared" si="154"/>
        <v>99.940721149847917</v>
      </c>
    </row>
    <row r="918" spans="1:8" s="191" customFormat="1" ht="31.5" x14ac:dyDescent="0.25">
      <c r="A918" s="396" t="s">
        <v>896</v>
      </c>
      <c r="B918" s="20" t="s">
        <v>299</v>
      </c>
      <c r="C918" s="20" t="s">
        <v>150</v>
      </c>
      <c r="D918" s="20" t="s">
        <v>859</v>
      </c>
      <c r="E918" s="32"/>
      <c r="F918" s="6">
        <f>F919+F921</f>
        <v>6703.5999999999995</v>
      </c>
      <c r="G918" s="389">
        <f>G919+G921</f>
        <v>6699.5129999999999</v>
      </c>
      <c r="H918" s="389">
        <f t="shared" si="154"/>
        <v>99.939032758517826</v>
      </c>
    </row>
    <row r="919" spans="1:8" s="191" customFormat="1" ht="78.75" x14ac:dyDescent="0.25">
      <c r="A919" s="396" t="s">
        <v>127</v>
      </c>
      <c r="B919" s="20" t="s">
        <v>299</v>
      </c>
      <c r="C919" s="20" t="s">
        <v>150</v>
      </c>
      <c r="D919" s="20" t="s">
        <v>859</v>
      </c>
      <c r="E919" s="32" t="s">
        <v>128</v>
      </c>
      <c r="F919" s="6">
        <f>F920</f>
        <v>6703.5999999999995</v>
      </c>
      <c r="G919" s="389">
        <f>G920</f>
        <v>6699.5129999999999</v>
      </c>
      <c r="H919" s="389">
        <f t="shared" si="154"/>
        <v>99.939032758517826</v>
      </c>
    </row>
    <row r="920" spans="1:8" ht="31.5" x14ac:dyDescent="0.25">
      <c r="A920" s="396" t="s">
        <v>129</v>
      </c>
      <c r="B920" s="20" t="s">
        <v>299</v>
      </c>
      <c r="C920" s="20" t="s">
        <v>150</v>
      </c>
      <c r="D920" s="20" t="s">
        <v>859</v>
      </c>
      <c r="E920" s="40" t="s">
        <v>130</v>
      </c>
      <c r="F920" s="6">
        <f>'Пр.4 ведом.21'!G462</f>
        <v>6703.5999999999995</v>
      </c>
      <c r="G920" s="389">
        <f>'Пр.4 ведом.21'!H462</f>
        <v>6699.5129999999999</v>
      </c>
      <c r="H920" s="389">
        <f t="shared" si="154"/>
        <v>99.939032758517826</v>
      </c>
    </row>
    <row r="921" spans="1:8" ht="31.5" hidden="1" x14ac:dyDescent="0.25">
      <c r="A921" s="396" t="s">
        <v>131</v>
      </c>
      <c r="B921" s="20" t="s">
        <v>299</v>
      </c>
      <c r="C921" s="20" t="s">
        <v>150</v>
      </c>
      <c r="D921" s="20" t="s">
        <v>859</v>
      </c>
      <c r="E921" s="40" t="s">
        <v>132</v>
      </c>
      <c r="F921" s="6">
        <f>F922</f>
        <v>0</v>
      </c>
      <c r="G921" s="389">
        <f>G922</f>
        <v>0</v>
      </c>
      <c r="H921" s="389" t="e">
        <f t="shared" si="154"/>
        <v>#DIV/0!</v>
      </c>
    </row>
    <row r="922" spans="1:8" ht="31.5" hidden="1" x14ac:dyDescent="0.25">
      <c r="A922" s="396" t="s">
        <v>133</v>
      </c>
      <c r="B922" s="20" t="s">
        <v>299</v>
      </c>
      <c r="C922" s="20" t="s">
        <v>150</v>
      </c>
      <c r="D922" s="20" t="s">
        <v>859</v>
      </c>
      <c r="E922" s="40" t="s">
        <v>134</v>
      </c>
      <c r="F922" s="6">
        <f>'Пр.4 ведом.21'!G464</f>
        <v>0</v>
      </c>
      <c r="G922" s="389">
        <f>'Пр.4 ведом.21'!H464</f>
        <v>0</v>
      </c>
      <c r="H922" s="389" t="e">
        <f t="shared" si="154"/>
        <v>#DIV/0!</v>
      </c>
    </row>
    <row r="923" spans="1:8" ht="47.25" x14ac:dyDescent="0.25">
      <c r="A923" s="396" t="s">
        <v>838</v>
      </c>
      <c r="B923" s="20" t="s">
        <v>299</v>
      </c>
      <c r="C923" s="20" t="s">
        <v>150</v>
      </c>
      <c r="D923" s="20" t="s">
        <v>861</v>
      </c>
      <c r="E923" s="40"/>
      <c r="F923" s="6">
        <f>F924</f>
        <v>215.20000000000002</v>
      </c>
      <c r="G923" s="389">
        <f>G924</f>
        <v>215.11</v>
      </c>
      <c r="H923" s="389">
        <f t="shared" si="154"/>
        <v>99.958178438661704</v>
      </c>
    </row>
    <row r="924" spans="1:8" ht="78.75" x14ac:dyDescent="0.25">
      <c r="A924" s="396" t="s">
        <v>127</v>
      </c>
      <c r="B924" s="20" t="s">
        <v>299</v>
      </c>
      <c r="C924" s="20" t="s">
        <v>150</v>
      </c>
      <c r="D924" s="20" t="s">
        <v>861</v>
      </c>
      <c r="E924" s="40" t="s">
        <v>128</v>
      </c>
      <c r="F924" s="6">
        <f t="shared" ref="F924:G924" si="157">F925</f>
        <v>215.20000000000002</v>
      </c>
      <c r="G924" s="389">
        <f t="shared" si="157"/>
        <v>215.11</v>
      </c>
      <c r="H924" s="389">
        <f t="shared" si="154"/>
        <v>99.958178438661704</v>
      </c>
    </row>
    <row r="925" spans="1:8" ht="31.5" x14ac:dyDescent="0.25">
      <c r="A925" s="396" t="s">
        <v>129</v>
      </c>
      <c r="B925" s="20" t="s">
        <v>299</v>
      </c>
      <c r="C925" s="20" t="s">
        <v>150</v>
      </c>
      <c r="D925" s="20" t="s">
        <v>861</v>
      </c>
      <c r="E925" s="40" t="s">
        <v>130</v>
      </c>
      <c r="F925" s="6">
        <f>'Пр.4 ведом.21'!G467</f>
        <v>215.20000000000002</v>
      </c>
      <c r="G925" s="389">
        <f>'Пр.4 ведом.21'!H467</f>
        <v>215.11</v>
      </c>
      <c r="H925" s="389">
        <f t="shared" si="154"/>
        <v>99.958178438661704</v>
      </c>
    </row>
    <row r="926" spans="1:8" s="387" customFormat="1" ht="31.5" x14ac:dyDescent="0.25">
      <c r="A926" s="396" t="s">
        <v>1677</v>
      </c>
      <c r="B926" s="392" t="s">
        <v>299</v>
      </c>
      <c r="C926" s="392" t="s">
        <v>150</v>
      </c>
      <c r="D926" s="392" t="s">
        <v>1678</v>
      </c>
      <c r="E926" s="392"/>
      <c r="F926" s="389">
        <f>F927</f>
        <v>127.55800000000001</v>
      </c>
      <c r="G926" s="389">
        <f>G927</f>
        <v>127.55800000000001</v>
      </c>
      <c r="H926" s="389">
        <f t="shared" si="154"/>
        <v>100</v>
      </c>
    </row>
    <row r="927" spans="1:8" s="387" customFormat="1" ht="78.75" x14ac:dyDescent="0.25">
      <c r="A927" s="396" t="s">
        <v>127</v>
      </c>
      <c r="B927" s="392" t="s">
        <v>299</v>
      </c>
      <c r="C927" s="392" t="s">
        <v>150</v>
      </c>
      <c r="D927" s="392" t="s">
        <v>1678</v>
      </c>
      <c r="E927" s="392" t="s">
        <v>128</v>
      </c>
      <c r="F927" s="389">
        <f>F928</f>
        <v>127.55800000000001</v>
      </c>
      <c r="G927" s="389">
        <f>G928</f>
        <v>127.55800000000001</v>
      </c>
      <c r="H927" s="389">
        <f t="shared" si="154"/>
        <v>100</v>
      </c>
    </row>
    <row r="928" spans="1:8" s="387" customFormat="1" ht="31.5" x14ac:dyDescent="0.25">
      <c r="A928" s="396" t="s">
        <v>129</v>
      </c>
      <c r="B928" s="392" t="s">
        <v>299</v>
      </c>
      <c r="C928" s="392" t="s">
        <v>150</v>
      </c>
      <c r="D928" s="392" t="s">
        <v>1678</v>
      </c>
      <c r="E928" s="392" t="s">
        <v>130</v>
      </c>
      <c r="F928" s="389">
        <f>'Пр.4 ведом.21'!G470</f>
        <v>127.55800000000001</v>
      </c>
      <c r="G928" s="389">
        <f>'Пр.4 ведом.21'!H470</f>
        <v>127.55800000000001</v>
      </c>
      <c r="H928" s="389">
        <f t="shared" si="154"/>
        <v>100</v>
      </c>
    </row>
    <row r="929" spans="1:8" ht="15.75" x14ac:dyDescent="0.25">
      <c r="A929" s="394" t="s">
        <v>925</v>
      </c>
      <c r="B929" s="24" t="s">
        <v>299</v>
      </c>
      <c r="C929" s="24" t="s">
        <v>150</v>
      </c>
      <c r="D929" s="24" t="s">
        <v>865</v>
      </c>
      <c r="E929" s="40"/>
      <c r="F929" s="4">
        <f>F934+F930</f>
        <v>13593.836099999999</v>
      </c>
      <c r="G929" s="388">
        <f>G934+G930</f>
        <v>13546.114</v>
      </c>
      <c r="H929" s="492">
        <f t="shared" si="154"/>
        <v>99.648943097085024</v>
      </c>
    </row>
    <row r="930" spans="1:8" s="387" customFormat="1" ht="31.5" x14ac:dyDescent="0.25">
      <c r="A930" s="34" t="s">
        <v>869</v>
      </c>
      <c r="B930" s="395" t="s">
        <v>299</v>
      </c>
      <c r="C930" s="395" t="s">
        <v>150</v>
      </c>
      <c r="D930" s="395" t="s">
        <v>864</v>
      </c>
      <c r="E930" s="7"/>
      <c r="F930" s="388">
        <f t="shared" ref="F930:G932" si="158">F931</f>
        <v>1185</v>
      </c>
      <c r="G930" s="388">
        <f t="shared" si="158"/>
        <v>1185</v>
      </c>
      <c r="H930" s="492">
        <f t="shared" si="154"/>
        <v>100</v>
      </c>
    </row>
    <row r="931" spans="1:8" s="387" customFormat="1" ht="47.25" x14ac:dyDescent="0.25">
      <c r="A931" s="31" t="s">
        <v>1583</v>
      </c>
      <c r="B931" s="392" t="s">
        <v>299</v>
      </c>
      <c r="C931" s="392" t="s">
        <v>150</v>
      </c>
      <c r="D931" s="392" t="s">
        <v>1582</v>
      </c>
      <c r="E931" s="399"/>
      <c r="F931" s="389">
        <f t="shared" si="158"/>
        <v>1185</v>
      </c>
      <c r="G931" s="389">
        <f t="shared" si="158"/>
        <v>1185</v>
      </c>
      <c r="H931" s="389">
        <f t="shared" si="154"/>
        <v>100</v>
      </c>
    </row>
    <row r="932" spans="1:8" s="387" customFormat="1" ht="31.5" x14ac:dyDescent="0.25">
      <c r="A932" s="396" t="s">
        <v>131</v>
      </c>
      <c r="B932" s="392" t="s">
        <v>299</v>
      </c>
      <c r="C932" s="392" t="s">
        <v>150</v>
      </c>
      <c r="D932" s="392" t="s">
        <v>1582</v>
      </c>
      <c r="E932" s="399" t="s">
        <v>132</v>
      </c>
      <c r="F932" s="389">
        <f t="shared" si="158"/>
        <v>1185</v>
      </c>
      <c r="G932" s="389">
        <f t="shared" si="158"/>
        <v>1185</v>
      </c>
      <c r="H932" s="389">
        <f t="shared" si="154"/>
        <v>100</v>
      </c>
    </row>
    <row r="933" spans="1:8" s="387" customFormat="1" ht="31.5" x14ac:dyDescent="0.25">
      <c r="A933" s="396" t="s">
        <v>133</v>
      </c>
      <c r="B933" s="392" t="s">
        <v>299</v>
      </c>
      <c r="C933" s="392" t="s">
        <v>150</v>
      </c>
      <c r="D933" s="392" t="s">
        <v>1582</v>
      </c>
      <c r="E933" s="399" t="s">
        <v>134</v>
      </c>
      <c r="F933" s="389">
        <f>'Пр.4 ведом.21'!G475</f>
        <v>1185</v>
      </c>
      <c r="G933" s="389">
        <f>'Пр.4 ведом.21'!H475</f>
        <v>1185</v>
      </c>
      <c r="H933" s="389">
        <f t="shared" si="154"/>
        <v>100</v>
      </c>
    </row>
    <row r="934" spans="1:8" ht="31.5" x14ac:dyDescent="0.25">
      <c r="A934" s="394" t="s">
        <v>928</v>
      </c>
      <c r="B934" s="24" t="s">
        <v>299</v>
      </c>
      <c r="C934" s="24" t="s">
        <v>150</v>
      </c>
      <c r="D934" s="24" t="s">
        <v>913</v>
      </c>
      <c r="E934" s="40"/>
      <c r="F934" s="4">
        <f>F935+F944+F947</f>
        <v>12408.836099999999</v>
      </c>
      <c r="G934" s="388">
        <f>G935+G944+G947</f>
        <v>12361.114</v>
      </c>
      <c r="H934" s="492">
        <f t="shared" si="154"/>
        <v>99.615418403342446</v>
      </c>
    </row>
    <row r="935" spans="1:8" ht="31.5" x14ac:dyDescent="0.25">
      <c r="A935" s="396" t="s">
        <v>902</v>
      </c>
      <c r="B935" s="20" t="s">
        <v>299</v>
      </c>
      <c r="C935" s="20" t="s">
        <v>150</v>
      </c>
      <c r="D935" s="20" t="s">
        <v>914</v>
      </c>
      <c r="E935" s="40"/>
      <c r="F935" s="6">
        <f>F936+F938+F942+F940</f>
        <v>11930.699999999999</v>
      </c>
      <c r="G935" s="389">
        <f>G936+G938+G942+G940</f>
        <v>11883.003999999999</v>
      </c>
      <c r="H935" s="389">
        <f t="shared" si="154"/>
        <v>99.600224630574914</v>
      </c>
    </row>
    <row r="936" spans="1:8" ht="78.75" x14ac:dyDescent="0.25">
      <c r="A936" s="396" t="s">
        <v>127</v>
      </c>
      <c r="B936" s="20" t="s">
        <v>299</v>
      </c>
      <c r="C936" s="20" t="s">
        <v>150</v>
      </c>
      <c r="D936" s="20" t="s">
        <v>914</v>
      </c>
      <c r="E936" s="40" t="s">
        <v>128</v>
      </c>
      <c r="F936" s="6">
        <f t="shared" ref="F936:G936" si="159">F937</f>
        <v>9857.4</v>
      </c>
      <c r="G936" s="389">
        <f t="shared" si="159"/>
        <v>9823.8420000000006</v>
      </c>
      <c r="H936" s="389">
        <f t="shared" si="154"/>
        <v>99.659565402641675</v>
      </c>
    </row>
    <row r="937" spans="1:8" ht="21.75" customHeight="1" x14ac:dyDescent="0.25">
      <c r="A937" s="396" t="s">
        <v>342</v>
      </c>
      <c r="B937" s="20" t="s">
        <v>299</v>
      </c>
      <c r="C937" s="20" t="s">
        <v>150</v>
      </c>
      <c r="D937" s="20" t="s">
        <v>914</v>
      </c>
      <c r="E937" s="40" t="s">
        <v>209</v>
      </c>
      <c r="F937" s="6">
        <f>'Пр.4 ведом.21'!G479</f>
        <v>9857.4</v>
      </c>
      <c r="G937" s="389">
        <f>'Пр.4 ведом.21'!H479</f>
        <v>9823.8420000000006</v>
      </c>
      <c r="H937" s="389">
        <f t="shared" si="154"/>
        <v>99.659565402641675</v>
      </c>
    </row>
    <row r="938" spans="1:8" ht="31.5" x14ac:dyDescent="0.25">
      <c r="A938" s="396" t="s">
        <v>131</v>
      </c>
      <c r="B938" s="20" t="s">
        <v>299</v>
      </c>
      <c r="C938" s="20" t="s">
        <v>150</v>
      </c>
      <c r="D938" s="20" t="s">
        <v>914</v>
      </c>
      <c r="E938" s="40" t="s">
        <v>132</v>
      </c>
      <c r="F938" s="6">
        <f t="shared" ref="F938:G942" si="160">F939</f>
        <v>1908.1999999999998</v>
      </c>
      <c r="G938" s="389">
        <f t="shared" si="160"/>
        <v>1894.1849999999999</v>
      </c>
      <c r="H938" s="389">
        <f t="shared" si="154"/>
        <v>99.265538203542619</v>
      </c>
    </row>
    <row r="939" spans="1:8" ht="31.5" x14ac:dyDescent="0.25">
      <c r="A939" s="396" t="s">
        <v>133</v>
      </c>
      <c r="B939" s="20" t="s">
        <v>299</v>
      </c>
      <c r="C939" s="20" t="s">
        <v>150</v>
      </c>
      <c r="D939" s="20" t="s">
        <v>914</v>
      </c>
      <c r="E939" s="40" t="s">
        <v>134</v>
      </c>
      <c r="F939" s="6">
        <f>'Пр.4 ведом.21'!G481</f>
        <v>1908.1999999999998</v>
      </c>
      <c r="G939" s="389">
        <f>'Пр.4 ведом.21'!H481</f>
        <v>1894.1849999999999</v>
      </c>
      <c r="H939" s="389">
        <f t="shared" si="154"/>
        <v>99.265538203542619</v>
      </c>
    </row>
    <row r="940" spans="1:8" s="387" customFormat="1" ht="31.5" x14ac:dyDescent="0.25">
      <c r="A940" s="396" t="s">
        <v>248</v>
      </c>
      <c r="B940" s="392" t="s">
        <v>299</v>
      </c>
      <c r="C940" s="392" t="s">
        <v>150</v>
      </c>
      <c r="D940" s="392" t="s">
        <v>914</v>
      </c>
      <c r="E940" s="392" t="s">
        <v>249</v>
      </c>
      <c r="F940" s="27">
        <f>F941</f>
        <v>147</v>
      </c>
      <c r="G940" s="27">
        <f>G941</f>
        <v>146.90799999999999</v>
      </c>
      <c r="H940" s="389">
        <f t="shared" si="154"/>
        <v>99.937414965986378</v>
      </c>
    </row>
    <row r="941" spans="1:8" s="387" customFormat="1" ht="31.5" x14ac:dyDescent="0.25">
      <c r="A941" s="396" t="s">
        <v>250</v>
      </c>
      <c r="B941" s="392" t="s">
        <v>299</v>
      </c>
      <c r="C941" s="392" t="s">
        <v>150</v>
      </c>
      <c r="D941" s="392" t="s">
        <v>914</v>
      </c>
      <c r="E941" s="392" t="s">
        <v>251</v>
      </c>
      <c r="F941" s="27">
        <f>'Пр.4 ведом.21'!G483</f>
        <v>147</v>
      </c>
      <c r="G941" s="27">
        <f>'Пр.4 ведом.21'!H483</f>
        <v>146.90799999999999</v>
      </c>
      <c r="H941" s="389">
        <f t="shared" si="154"/>
        <v>99.937414965986378</v>
      </c>
    </row>
    <row r="942" spans="1:8" ht="15.75" x14ac:dyDescent="0.25">
      <c r="A942" s="396" t="s">
        <v>135</v>
      </c>
      <c r="B942" s="20" t="s">
        <v>299</v>
      </c>
      <c r="C942" s="20" t="s">
        <v>150</v>
      </c>
      <c r="D942" s="20" t="s">
        <v>914</v>
      </c>
      <c r="E942" s="40" t="s">
        <v>145</v>
      </c>
      <c r="F942" s="6">
        <f t="shared" si="160"/>
        <v>18.100000000000001</v>
      </c>
      <c r="G942" s="389">
        <f t="shared" si="160"/>
        <v>18.068999999999999</v>
      </c>
      <c r="H942" s="389">
        <f t="shared" si="154"/>
        <v>99.828729281767949</v>
      </c>
    </row>
    <row r="943" spans="1:8" ht="15.75" x14ac:dyDescent="0.25">
      <c r="A943" s="396" t="s">
        <v>568</v>
      </c>
      <c r="B943" s="20" t="s">
        <v>299</v>
      </c>
      <c r="C943" s="20" t="s">
        <v>150</v>
      </c>
      <c r="D943" s="20" t="s">
        <v>914</v>
      </c>
      <c r="E943" s="40" t="s">
        <v>138</v>
      </c>
      <c r="F943" s="6">
        <f>'Пр.4 ведом.21'!G485</f>
        <v>18.100000000000001</v>
      </c>
      <c r="G943" s="389">
        <f>'Пр.4 ведом.21'!H485</f>
        <v>18.068999999999999</v>
      </c>
      <c r="H943" s="389">
        <f t="shared" si="154"/>
        <v>99.828729281767949</v>
      </c>
    </row>
    <row r="944" spans="1:8" ht="47.25" x14ac:dyDescent="0.25">
      <c r="A944" s="396" t="s">
        <v>838</v>
      </c>
      <c r="B944" s="20" t="s">
        <v>299</v>
      </c>
      <c r="C944" s="20" t="s">
        <v>150</v>
      </c>
      <c r="D944" s="20" t="s">
        <v>915</v>
      </c>
      <c r="E944" s="40"/>
      <c r="F944" s="6">
        <f>F945</f>
        <v>357.6</v>
      </c>
      <c r="G944" s="389">
        <f>G945</f>
        <v>357.57400000000001</v>
      </c>
      <c r="H944" s="389">
        <f t="shared" si="154"/>
        <v>99.992729306487689</v>
      </c>
    </row>
    <row r="945" spans="1:8" ht="78.75" x14ac:dyDescent="0.25">
      <c r="A945" s="396" t="s">
        <v>127</v>
      </c>
      <c r="B945" s="20" t="s">
        <v>299</v>
      </c>
      <c r="C945" s="20" t="s">
        <v>150</v>
      </c>
      <c r="D945" s="20" t="s">
        <v>915</v>
      </c>
      <c r="E945" s="40" t="s">
        <v>128</v>
      </c>
      <c r="F945" s="6">
        <f t="shared" ref="F945:G945" si="161">F946</f>
        <v>357.6</v>
      </c>
      <c r="G945" s="389">
        <f t="shared" si="161"/>
        <v>357.57400000000001</v>
      </c>
      <c r="H945" s="389">
        <f t="shared" si="154"/>
        <v>99.992729306487689</v>
      </c>
    </row>
    <row r="946" spans="1:8" ht="31.5" x14ac:dyDescent="0.25">
      <c r="A946" s="396" t="s">
        <v>129</v>
      </c>
      <c r="B946" s="20" t="s">
        <v>299</v>
      </c>
      <c r="C946" s="20" t="s">
        <v>150</v>
      </c>
      <c r="D946" s="20" t="s">
        <v>915</v>
      </c>
      <c r="E946" s="40" t="s">
        <v>209</v>
      </c>
      <c r="F946" s="6">
        <f>'Пр.4 ведом.21'!G488</f>
        <v>357.6</v>
      </c>
      <c r="G946" s="389">
        <f>'Пр.4 ведом.21'!H488</f>
        <v>357.57400000000001</v>
      </c>
      <c r="H946" s="389">
        <f t="shared" si="154"/>
        <v>99.992729306487689</v>
      </c>
    </row>
    <row r="947" spans="1:8" s="387" customFormat="1" ht="31.5" x14ac:dyDescent="0.25">
      <c r="A947" s="396" t="s">
        <v>1677</v>
      </c>
      <c r="B947" s="392" t="s">
        <v>299</v>
      </c>
      <c r="C947" s="392" t="s">
        <v>150</v>
      </c>
      <c r="D947" s="392" t="s">
        <v>1681</v>
      </c>
      <c r="E947" s="392"/>
      <c r="F947" s="389">
        <f>F948</f>
        <v>120.5361</v>
      </c>
      <c r="G947" s="389">
        <f>G948</f>
        <v>120.536</v>
      </c>
      <c r="H947" s="389">
        <f t="shared" si="154"/>
        <v>99.999917037302509</v>
      </c>
    </row>
    <row r="948" spans="1:8" s="387" customFormat="1" ht="78.75" x14ac:dyDescent="0.25">
      <c r="A948" s="396" t="s">
        <v>127</v>
      </c>
      <c r="B948" s="392" t="s">
        <v>299</v>
      </c>
      <c r="C948" s="392" t="s">
        <v>150</v>
      </c>
      <c r="D948" s="392" t="s">
        <v>1681</v>
      </c>
      <c r="E948" s="392" t="s">
        <v>128</v>
      </c>
      <c r="F948" s="389">
        <f>F949</f>
        <v>120.5361</v>
      </c>
      <c r="G948" s="389">
        <f>G949</f>
        <v>120.536</v>
      </c>
      <c r="H948" s="389">
        <f t="shared" si="154"/>
        <v>99.999917037302509</v>
      </c>
    </row>
    <row r="949" spans="1:8" s="387" customFormat="1" ht="15.75" x14ac:dyDescent="0.25">
      <c r="A949" s="396" t="s">
        <v>208</v>
      </c>
      <c r="B949" s="392" t="s">
        <v>299</v>
      </c>
      <c r="C949" s="392" t="s">
        <v>150</v>
      </c>
      <c r="D949" s="392" t="s">
        <v>1681</v>
      </c>
      <c r="E949" s="392" t="s">
        <v>209</v>
      </c>
      <c r="F949" s="389">
        <f>'Пр.4 ведом.21'!G491</f>
        <v>120.5361</v>
      </c>
      <c r="G949" s="389">
        <f>'Пр.4 ведом.21'!H491</f>
        <v>120.536</v>
      </c>
      <c r="H949" s="389">
        <f t="shared" si="154"/>
        <v>99.999917037302509</v>
      </c>
    </row>
    <row r="950" spans="1:8" ht="47.25" x14ac:dyDescent="0.25">
      <c r="A950" s="394" t="s">
        <v>1346</v>
      </c>
      <c r="B950" s="24" t="s">
        <v>299</v>
      </c>
      <c r="C950" s="24" t="s">
        <v>150</v>
      </c>
      <c r="D950" s="24" t="s">
        <v>344</v>
      </c>
      <c r="E950" s="40"/>
      <c r="F950" s="4">
        <f t="shared" ref="F950:G952" si="162">F951</f>
        <v>178</v>
      </c>
      <c r="G950" s="388">
        <f t="shared" si="162"/>
        <v>177.97</v>
      </c>
      <c r="H950" s="492">
        <f t="shared" si="154"/>
        <v>99.983146067415731</v>
      </c>
    </row>
    <row r="951" spans="1:8" ht="31.5" x14ac:dyDescent="0.25">
      <c r="A951" s="394" t="s">
        <v>355</v>
      </c>
      <c r="B951" s="24" t="s">
        <v>299</v>
      </c>
      <c r="C951" s="24" t="s">
        <v>150</v>
      </c>
      <c r="D951" s="24" t="s">
        <v>362</v>
      </c>
      <c r="E951" s="40"/>
      <c r="F951" s="4">
        <f t="shared" si="162"/>
        <v>178</v>
      </c>
      <c r="G951" s="388">
        <f t="shared" si="162"/>
        <v>177.97</v>
      </c>
      <c r="H951" s="492">
        <f t="shared" si="154"/>
        <v>99.983146067415731</v>
      </c>
    </row>
    <row r="952" spans="1:8" ht="31.5" x14ac:dyDescent="0.25">
      <c r="A952" s="394" t="s">
        <v>996</v>
      </c>
      <c r="B952" s="24" t="s">
        <v>299</v>
      </c>
      <c r="C952" s="24" t="s">
        <v>150</v>
      </c>
      <c r="D952" s="24" t="s">
        <v>1219</v>
      </c>
      <c r="E952" s="40"/>
      <c r="F952" s="4">
        <f t="shared" si="162"/>
        <v>178</v>
      </c>
      <c r="G952" s="388">
        <f t="shared" si="162"/>
        <v>177.97</v>
      </c>
      <c r="H952" s="492">
        <f t="shared" si="154"/>
        <v>99.983146067415731</v>
      </c>
    </row>
    <row r="953" spans="1:8" ht="31.5" x14ac:dyDescent="0.25">
      <c r="A953" s="396" t="s">
        <v>995</v>
      </c>
      <c r="B953" s="20" t="s">
        <v>299</v>
      </c>
      <c r="C953" s="20" t="s">
        <v>150</v>
      </c>
      <c r="D953" s="20" t="s">
        <v>1220</v>
      </c>
      <c r="E953" s="40"/>
      <c r="F953" s="6">
        <f t="shared" ref="F953:G953" si="163">F954</f>
        <v>178</v>
      </c>
      <c r="G953" s="389">
        <f t="shared" si="163"/>
        <v>177.97</v>
      </c>
      <c r="H953" s="389">
        <f t="shared" si="154"/>
        <v>99.983146067415731</v>
      </c>
    </row>
    <row r="954" spans="1:8" ht="31.5" x14ac:dyDescent="0.25">
      <c r="A954" s="396" t="s">
        <v>131</v>
      </c>
      <c r="B954" s="20" t="s">
        <v>299</v>
      </c>
      <c r="C954" s="20" t="s">
        <v>150</v>
      </c>
      <c r="D954" s="20" t="s">
        <v>1220</v>
      </c>
      <c r="E954" s="40" t="s">
        <v>132</v>
      </c>
      <c r="F954" s="6">
        <f>F955</f>
        <v>178</v>
      </c>
      <c r="G954" s="389">
        <f>G955</f>
        <v>177.97</v>
      </c>
      <c r="H954" s="389">
        <f t="shared" si="154"/>
        <v>99.983146067415731</v>
      </c>
    </row>
    <row r="955" spans="1:8" ht="31.5" x14ac:dyDescent="0.25">
      <c r="A955" s="396" t="s">
        <v>133</v>
      </c>
      <c r="B955" s="20" t="s">
        <v>299</v>
      </c>
      <c r="C955" s="20" t="s">
        <v>150</v>
      </c>
      <c r="D955" s="20" t="s">
        <v>1220</v>
      </c>
      <c r="E955" s="40" t="s">
        <v>134</v>
      </c>
      <c r="F955" s="6">
        <f>'Пр.4 ведом.21'!G497</f>
        <v>178</v>
      </c>
      <c r="G955" s="389">
        <f>'Пр.4 ведом.21'!H497</f>
        <v>177.97</v>
      </c>
      <c r="H955" s="389">
        <f t="shared" si="154"/>
        <v>99.983146067415731</v>
      </c>
    </row>
    <row r="956" spans="1:8" s="191" customFormat="1" ht="47.25" x14ac:dyDescent="0.25">
      <c r="A956" s="34" t="s">
        <v>1356</v>
      </c>
      <c r="B956" s="24" t="s">
        <v>299</v>
      </c>
      <c r="C956" s="24" t="s">
        <v>150</v>
      </c>
      <c r="D956" s="24" t="s">
        <v>324</v>
      </c>
      <c r="E956" s="24"/>
      <c r="F956" s="21">
        <f>F958</f>
        <v>4</v>
      </c>
      <c r="G956" s="393">
        <f>G958</f>
        <v>4</v>
      </c>
      <c r="H956" s="492">
        <f t="shared" si="154"/>
        <v>100</v>
      </c>
    </row>
    <row r="957" spans="1:8" s="191" customFormat="1" ht="63" x14ac:dyDescent="0.25">
      <c r="A957" s="34" t="s">
        <v>1024</v>
      </c>
      <c r="B957" s="24" t="s">
        <v>299</v>
      </c>
      <c r="C957" s="24" t="s">
        <v>150</v>
      </c>
      <c r="D957" s="24" t="s">
        <v>933</v>
      </c>
      <c r="E957" s="24"/>
      <c r="F957" s="21">
        <f>F960</f>
        <v>4</v>
      </c>
      <c r="G957" s="393">
        <f>G960</f>
        <v>4</v>
      </c>
      <c r="H957" s="492">
        <f t="shared" si="154"/>
        <v>100</v>
      </c>
    </row>
    <row r="958" spans="1:8" s="191" customFormat="1" ht="47.25" x14ac:dyDescent="0.25">
      <c r="A958" s="31" t="s">
        <v>1081</v>
      </c>
      <c r="B958" s="20" t="s">
        <v>299</v>
      </c>
      <c r="C958" s="20" t="s">
        <v>150</v>
      </c>
      <c r="D958" s="20" t="s">
        <v>1025</v>
      </c>
      <c r="E958" s="20"/>
      <c r="F958" s="26">
        <f>F959</f>
        <v>4</v>
      </c>
      <c r="G958" s="397">
        <f>G959</f>
        <v>4</v>
      </c>
      <c r="H958" s="389">
        <f t="shared" si="154"/>
        <v>100</v>
      </c>
    </row>
    <row r="959" spans="1:8" s="191" customFormat="1" ht="31.5" x14ac:dyDescent="0.25">
      <c r="A959" s="396" t="s">
        <v>131</v>
      </c>
      <c r="B959" s="20" t="s">
        <v>299</v>
      </c>
      <c r="C959" s="20" t="s">
        <v>150</v>
      </c>
      <c r="D959" s="20" t="s">
        <v>1025</v>
      </c>
      <c r="E959" s="20" t="s">
        <v>132</v>
      </c>
      <c r="F959" s="26">
        <f>F960</f>
        <v>4</v>
      </c>
      <c r="G959" s="397">
        <f>G960</f>
        <v>4</v>
      </c>
      <c r="H959" s="389">
        <f t="shared" si="154"/>
        <v>100</v>
      </c>
    </row>
    <row r="960" spans="1:8" s="191" customFormat="1" ht="31.5" x14ac:dyDescent="0.25">
      <c r="A960" s="396" t="s">
        <v>133</v>
      </c>
      <c r="B960" s="20" t="s">
        <v>299</v>
      </c>
      <c r="C960" s="20" t="s">
        <v>150</v>
      </c>
      <c r="D960" s="20" t="s">
        <v>1025</v>
      </c>
      <c r="E960" s="20" t="s">
        <v>134</v>
      </c>
      <c r="F960" s="26">
        <f>'Пр.4 ведом.21'!G502</f>
        <v>4</v>
      </c>
      <c r="G960" s="397">
        <f>'Пр.4 ведом.21'!H502</f>
        <v>4</v>
      </c>
      <c r="H960" s="389">
        <f t="shared" si="154"/>
        <v>100</v>
      </c>
    </row>
    <row r="961" spans="1:8" s="191" customFormat="1" ht="15.75" x14ac:dyDescent="0.25">
      <c r="A961" s="394" t="s">
        <v>243</v>
      </c>
      <c r="B961" s="24" t="s">
        <v>244</v>
      </c>
      <c r="C961" s="24"/>
      <c r="D961" s="24"/>
      <c r="E961" s="24"/>
      <c r="F961" s="4">
        <f>F962+F968+F1002+F997</f>
        <v>16120.630000000001</v>
      </c>
      <c r="G961" s="388">
        <f>G962+G968+G1002+G997</f>
        <v>15542.630999999999</v>
      </c>
      <c r="H961" s="492">
        <f t="shared" si="154"/>
        <v>96.414538389628675</v>
      </c>
    </row>
    <row r="962" spans="1:8" s="191" customFormat="1" ht="15.75" x14ac:dyDescent="0.25">
      <c r="A962" s="394" t="s">
        <v>245</v>
      </c>
      <c r="B962" s="24" t="s">
        <v>244</v>
      </c>
      <c r="C962" s="24" t="s">
        <v>118</v>
      </c>
      <c r="D962" s="24"/>
      <c r="E962" s="24"/>
      <c r="F962" s="4">
        <f t="shared" ref="F962:G966" si="164">F963</f>
        <v>11049.23</v>
      </c>
      <c r="G962" s="388">
        <f t="shared" si="164"/>
        <v>11049.155000000001</v>
      </c>
      <c r="H962" s="492">
        <f t="shared" si="154"/>
        <v>99.999321219668715</v>
      </c>
    </row>
    <row r="963" spans="1:8" s="191" customFormat="1" ht="15.75" x14ac:dyDescent="0.25">
      <c r="A963" s="394" t="s">
        <v>141</v>
      </c>
      <c r="B963" s="24" t="s">
        <v>244</v>
      </c>
      <c r="C963" s="24" t="s">
        <v>118</v>
      </c>
      <c r="D963" s="24" t="s">
        <v>865</v>
      </c>
      <c r="E963" s="24"/>
      <c r="F963" s="4">
        <f t="shared" si="164"/>
        <v>11049.23</v>
      </c>
      <c r="G963" s="388">
        <f t="shared" si="164"/>
        <v>11049.155000000001</v>
      </c>
      <c r="H963" s="492">
        <f t="shared" si="154"/>
        <v>99.999321219668715</v>
      </c>
    </row>
    <row r="964" spans="1:8" s="191" customFormat="1" ht="31.5" x14ac:dyDescent="0.25">
      <c r="A964" s="394" t="s">
        <v>869</v>
      </c>
      <c r="B964" s="24" t="s">
        <v>244</v>
      </c>
      <c r="C964" s="24" t="s">
        <v>118</v>
      </c>
      <c r="D964" s="24" t="s">
        <v>864</v>
      </c>
      <c r="E964" s="24"/>
      <c r="F964" s="4">
        <f t="shared" si="164"/>
        <v>11049.23</v>
      </c>
      <c r="G964" s="388">
        <f t="shared" si="164"/>
        <v>11049.155000000001</v>
      </c>
      <c r="H964" s="492">
        <f t="shared" si="154"/>
        <v>99.999321219668715</v>
      </c>
    </row>
    <row r="965" spans="1:8" s="191" customFormat="1" ht="15.75" x14ac:dyDescent="0.25">
      <c r="A965" s="396" t="s">
        <v>246</v>
      </c>
      <c r="B965" s="20" t="s">
        <v>244</v>
      </c>
      <c r="C965" s="20" t="s">
        <v>118</v>
      </c>
      <c r="D965" s="20" t="s">
        <v>880</v>
      </c>
      <c r="E965" s="20"/>
      <c r="F965" s="6">
        <f t="shared" si="164"/>
        <v>11049.23</v>
      </c>
      <c r="G965" s="389">
        <f t="shared" si="164"/>
        <v>11049.155000000001</v>
      </c>
      <c r="H965" s="389">
        <f t="shared" si="154"/>
        <v>99.999321219668715</v>
      </c>
    </row>
    <row r="966" spans="1:8" s="191" customFormat="1" ht="18" customHeight="1" x14ac:dyDescent="0.25">
      <c r="A966" s="396" t="s">
        <v>248</v>
      </c>
      <c r="B966" s="20" t="s">
        <v>244</v>
      </c>
      <c r="C966" s="20" t="s">
        <v>118</v>
      </c>
      <c r="D966" s="20" t="s">
        <v>880</v>
      </c>
      <c r="E966" s="20" t="s">
        <v>249</v>
      </c>
      <c r="F966" s="6">
        <f t="shared" si="164"/>
        <v>11049.23</v>
      </c>
      <c r="G966" s="389">
        <f t="shared" si="164"/>
        <v>11049.155000000001</v>
      </c>
      <c r="H966" s="389">
        <f t="shared" si="154"/>
        <v>99.999321219668715</v>
      </c>
    </row>
    <row r="967" spans="1:8" s="191" customFormat="1" ht="31.5" x14ac:dyDescent="0.25">
      <c r="A967" s="396" t="s">
        <v>250</v>
      </c>
      <c r="B967" s="20" t="s">
        <v>244</v>
      </c>
      <c r="C967" s="20" t="s">
        <v>118</v>
      </c>
      <c r="D967" s="20" t="s">
        <v>880</v>
      </c>
      <c r="E967" s="20" t="s">
        <v>251</v>
      </c>
      <c r="F967" s="6">
        <f>'Пр.4 ведом.21'!G244</f>
        <v>11049.23</v>
      </c>
      <c r="G967" s="389">
        <f>'Пр.4 ведом.21'!H244</f>
        <v>11049.155000000001</v>
      </c>
      <c r="H967" s="389">
        <f t="shared" si="154"/>
        <v>99.999321219668715</v>
      </c>
    </row>
    <row r="968" spans="1:8" ht="15.75" x14ac:dyDescent="0.25">
      <c r="A968" s="394" t="s">
        <v>252</v>
      </c>
      <c r="B968" s="24" t="s">
        <v>244</v>
      </c>
      <c r="C968" s="24" t="s">
        <v>215</v>
      </c>
      <c r="D968" s="24"/>
      <c r="E968" s="24"/>
      <c r="F968" s="4">
        <f>F969+F992</f>
        <v>1452.2</v>
      </c>
      <c r="G968" s="388">
        <f>G969+G992</f>
        <v>1451.9349999999999</v>
      </c>
      <c r="H968" s="492">
        <f t="shared" si="154"/>
        <v>99.981751824817508</v>
      </c>
    </row>
    <row r="969" spans="1:8" ht="47.25" x14ac:dyDescent="0.25">
      <c r="A969" s="394" t="s">
        <v>1371</v>
      </c>
      <c r="B969" s="24" t="s">
        <v>244</v>
      </c>
      <c r="C969" s="24" t="s">
        <v>215</v>
      </c>
      <c r="D969" s="24" t="s">
        <v>344</v>
      </c>
      <c r="E969" s="24"/>
      <c r="F969" s="4">
        <f>F970+F975</f>
        <v>1452.2</v>
      </c>
      <c r="G969" s="388">
        <f>G970+G975</f>
        <v>1451.9349999999999</v>
      </c>
      <c r="H969" s="492">
        <f t="shared" ref="H969:H1032" si="165">G969/F969*100</f>
        <v>99.981751824817508</v>
      </c>
    </row>
    <row r="970" spans="1:8" ht="31.5" hidden="1" x14ac:dyDescent="0.25">
      <c r="A970" s="394" t="s">
        <v>352</v>
      </c>
      <c r="B970" s="24" t="s">
        <v>244</v>
      </c>
      <c r="C970" s="24" t="s">
        <v>215</v>
      </c>
      <c r="D970" s="24" t="s">
        <v>353</v>
      </c>
      <c r="E970" s="24"/>
      <c r="F970" s="4">
        <f t="shared" ref="F970:G970" si="166">F971</f>
        <v>0</v>
      </c>
      <c r="G970" s="388">
        <f t="shared" si="166"/>
        <v>0</v>
      </c>
      <c r="H970" s="492" t="e">
        <f t="shared" si="165"/>
        <v>#DIV/0!</v>
      </c>
    </row>
    <row r="971" spans="1:8" ht="30.2" hidden="1" customHeight="1" x14ac:dyDescent="0.25">
      <c r="A971" s="394" t="s">
        <v>904</v>
      </c>
      <c r="B971" s="24" t="s">
        <v>244</v>
      </c>
      <c r="C971" s="24" t="s">
        <v>215</v>
      </c>
      <c r="D971" s="24" t="s">
        <v>903</v>
      </c>
      <c r="E971" s="24"/>
      <c r="F971" s="4">
        <f>F972</f>
        <v>0</v>
      </c>
      <c r="G971" s="388">
        <f>G972</f>
        <v>0</v>
      </c>
      <c r="H971" s="492" t="e">
        <f t="shared" si="165"/>
        <v>#DIV/0!</v>
      </c>
    </row>
    <row r="972" spans="1:8" ht="31.5" hidden="1" x14ac:dyDescent="0.25">
      <c r="A972" s="396" t="s">
        <v>823</v>
      </c>
      <c r="B972" s="20" t="s">
        <v>244</v>
      </c>
      <c r="C972" s="20" t="s">
        <v>215</v>
      </c>
      <c r="D972" s="20" t="s">
        <v>905</v>
      </c>
      <c r="E972" s="20"/>
      <c r="F972" s="6">
        <f>F973</f>
        <v>0</v>
      </c>
      <c r="G972" s="389">
        <f>G973</f>
        <v>0</v>
      </c>
      <c r="H972" s="492" t="e">
        <f t="shared" si="165"/>
        <v>#DIV/0!</v>
      </c>
    </row>
    <row r="973" spans="1:8" ht="19.5" hidden="1" customHeight="1" x14ac:dyDescent="0.25">
      <c r="A973" s="396" t="s">
        <v>248</v>
      </c>
      <c r="B973" s="20" t="s">
        <v>244</v>
      </c>
      <c r="C973" s="20" t="s">
        <v>215</v>
      </c>
      <c r="D973" s="20" t="s">
        <v>905</v>
      </c>
      <c r="E973" s="20" t="s">
        <v>249</v>
      </c>
      <c r="F973" s="6">
        <f t="shared" ref="F973:G973" si="167">F974</f>
        <v>0</v>
      </c>
      <c r="G973" s="389">
        <f t="shared" si="167"/>
        <v>0</v>
      </c>
      <c r="H973" s="492" t="e">
        <f t="shared" si="165"/>
        <v>#DIV/0!</v>
      </c>
    </row>
    <row r="974" spans="1:8" ht="31.5" hidden="1" x14ac:dyDescent="0.25">
      <c r="A974" s="396" t="s">
        <v>250</v>
      </c>
      <c r="B974" s="20" t="s">
        <v>244</v>
      </c>
      <c r="C974" s="20" t="s">
        <v>215</v>
      </c>
      <c r="D974" s="20" t="s">
        <v>905</v>
      </c>
      <c r="E974" s="20" t="s">
        <v>251</v>
      </c>
      <c r="F974" s="6">
        <f>'Пр.4 ведом.21'!G510</f>
        <v>0</v>
      </c>
      <c r="G974" s="389">
        <f>'Пр.4 ведом.21'!H510</f>
        <v>0</v>
      </c>
      <c r="H974" s="492" t="e">
        <f t="shared" si="165"/>
        <v>#DIV/0!</v>
      </c>
    </row>
    <row r="975" spans="1:8" ht="37.5" customHeight="1" x14ac:dyDescent="0.25">
      <c r="A975" s="394" t="s">
        <v>355</v>
      </c>
      <c r="B975" s="19">
        <v>10</v>
      </c>
      <c r="C975" s="24" t="s">
        <v>215</v>
      </c>
      <c r="D975" s="24" t="s">
        <v>362</v>
      </c>
      <c r="E975" s="24"/>
      <c r="F975" s="4">
        <f>F976+F982+F988</f>
        <v>1452.2</v>
      </c>
      <c r="G975" s="388">
        <f>G976+G982+G988</f>
        <v>1451.9349999999999</v>
      </c>
      <c r="H975" s="492">
        <f t="shared" si="165"/>
        <v>99.981751824817508</v>
      </c>
    </row>
    <row r="976" spans="1:8" ht="31.5" x14ac:dyDescent="0.25">
      <c r="A976" s="394" t="s">
        <v>1038</v>
      </c>
      <c r="B976" s="24" t="s">
        <v>244</v>
      </c>
      <c r="C976" s="24" t="s">
        <v>215</v>
      </c>
      <c r="D976" s="24" t="s">
        <v>912</v>
      </c>
      <c r="E976" s="24"/>
      <c r="F976" s="21">
        <f>F977</f>
        <v>1027.2</v>
      </c>
      <c r="G976" s="393">
        <f>G977</f>
        <v>1026.9349999999999</v>
      </c>
      <c r="H976" s="492">
        <f t="shared" si="165"/>
        <v>99.97420171339563</v>
      </c>
    </row>
    <row r="977" spans="1:8" ht="47.25" x14ac:dyDescent="0.25">
      <c r="A977" s="98" t="s">
        <v>1039</v>
      </c>
      <c r="B977" s="20" t="s">
        <v>244</v>
      </c>
      <c r="C977" s="20" t="s">
        <v>215</v>
      </c>
      <c r="D977" s="20" t="s">
        <v>1222</v>
      </c>
      <c r="E977" s="20"/>
      <c r="F977" s="26">
        <f>F980+F978</f>
        <v>1027.2</v>
      </c>
      <c r="G977" s="397">
        <f>G980+G978</f>
        <v>1026.9349999999999</v>
      </c>
      <c r="H977" s="389">
        <f t="shared" si="165"/>
        <v>99.97420171339563</v>
      </c>
    </row>
    <row r="978" spans="1:8" s="191" customFormat="1" ht="31.5" x14ac:dyDescent="0.25">
      <c r="A978" s="396" t="s">
        <v>131</v>
      </c>
      <c r="B978" s="20" t="s">
        <v>244</v>
      </c>
      <c r="C978" s="20" t="s">
        <v>215</v>
      </c>
      <c r="D978" s="20" t="s">
        <v>1222</v>
      </c>
      <c r="E978" s="20" t="s">
        <v>132</v>
      </c>
      <c r="F978" s="26">
        <f>F979</f>
        <v>529.20000000000005</v>
      </c>
      <c r="G978" s="397">
        <f>G979</f>
        <v>528.98500000000001</v>
      </c>
      <c r="H978" s="389">
        <f t="shared" si="165"/>
        <v>99.959372637944057</v>
      </c>
    </row>
    <row r="979" spans="1:8" s="191" customFormat="1" ht="31.5" x14ac:dyDescent="0.25">
      <c r="A979" s="396" t="s">
        <v>133</v>
      </c>
      <c r="B979" s="20" t="s">
        <v>244</v>
      </c>
      <c r="C979" s="20" t="s">
        <v>215</v>
      </c>
      <c r="D979" s="20" t="s">
        <v>1222</v>
      </c>
      <c r="E979" s="20" t="s">
        <v>134</v>
      </c>
      <c r="F979" s="26">
        <f>'Пр.4 ведом.21'!G515</f>
        <v>529.20000000000005</v>
      </c>
      <c r="G979" s="397">
        <f>'Пр.4 ведом.21'!H515</f>
        <v>528.98500000000001</v>
      </c>
      <c r="H979" s="389">
        <f t="shared" si="165"/>
        <v>99.959372637944057</v>
      </c>
    </row>
    <row r="980" spans="1:8" ht="18.75" customHeight="1" x14ac:dyDescent="0.25">
      <c r="A980" s="396" t="s">
        <v>248</v>
      </c>
      <c r="B980" s="20" t="s">
        <v>244</v>
      </c>
      <c r="C980" s="20" t="s">
        <v>215</v>
      </c>
      <c r="D980" s="20" t="s">
        <v>1222</v>
      </c>
      <c r="E980" s="20" t="s">
        <v>249</v>
      </c>
      <c r="F980" s="26">
        <f>F981</f>
        <v>497.99999999999994</v>
      </c>
      <c r="G980" s="397">
        <f>G981</f>
        <v>497.95</v>
      </c>
      <c r="H980" s="389">
        <f t="shared" si="165"/>
        <v>99.989959839357439</v>
      </c>
    </row>
    <row r="981" spans="1:8" ht="31.7" customHeight="1" x14ac:dyDescent="0.25">
      <c r="A981" s="396" t="s">
        <v>348</v>
      </c>
      <c r="B981" s="20" t="s">
        <v>244</v>
      </c>
      <c r="C981" s="20" t="s">
        <v>215</v>
      </c>
      <c r="D981" s="20" t="s">
        <v>1222</v>
      </c>
      <c r="E981" s="20" t="s">
        <v>349</v>
      </c>
      <c r="F981" s="26">
        <f>'Пр.4 ведом.21'!G517</f>
        <v>497.99999999999994</v>
      </c>
      <c r="G981" s="397">
        <f>'Пр.4 ведом.21'!H517</f>
        <v>497.95</v>
      </c>
      <c r="H981" s="389">
        <f t="shared" si="165"/>
        <v>99.989959839357439</v>
      </c>
    </row>
    <row r="982" spans="1:8" ht="31.5" x14ac:dyDescent="0.25">
      <c r="A982" s="394" t="s">
        <v>1226</v>
      </c>
      <c r="B982" s="19">
        <v>10</v>
      </c>
      <c r="C982" s="24" t="s">
        <v>215</v>
      </c>
      <c r="D982" s="24" t="s">
        <v>1224</v>
      </c>
      <c r="E982" s="24"/>
      <c r="F982" s="21">
        <f>F983</f>
        <v>205</v>
      </c>
      <c r="G982" s="393">
        <f>G983</f>
        <v>205</v>
      </c>
      <c r="H982" s="492">
        <f t="shared" si="165"/>
        <v>100</v>
      </c>
    </row>
    <row r="983" spans="1:8" ht="35.450000000000003" customHeight="1" x14ac:dyDescent="0.25">
      <c r="A983" s="396" t="s">
        <v>1223</v>
      </c>
      <c r="B983" s="20" t="s">
        <v>244</v>
      </c>
      <c r="C983" s="20" t="s">
        <v>215</v>
      </c>
      <c r="D983" s="20" t="s">
        <v>1225</v>
      </c>
      <c r="E983" s="20"/>
      <c r="F983" s="26">
        <f>F985+F987</f>
        <v>205</v>
      </c>
      <c r="G983" s="397">
        <f>G985+G987</f>
        <v>205</v>
      </c>
      <c r="H983" s="389">
        <f t="shared" si="165"/>
        <v>100</v>
      </c>
    </row>
    <row r="984" spans="1:8" ht="36" hidden="1" customHeight="1" x14ac:dyDescent="0.25">
      <c r="A984" s="396" t="s">
        <v>131</v>
      </c>
      <c r="B984" s="20" t="s">
        <v>244</v>
      </c>
      <c r="C984" s="20" t="s">
        <v>215</v>
      </c>
      <c r="D984" s="20" t="s">
        <v>1225</v>
      </c>
      <c r="E984" s="20" t="s">
        <v>132</v>
      </c>
      <c r="F984" s="26">
        <f>F985</f>
        <v>0</v>
      </c>
      <c r="G984" s="397">
        <f>G985</f>
        <v>0</v>
      </c>
      <c r="H984" s="389" t="e">
        <f t="shared" si="165"/>
        <v>#DIV/0!</v>
      </c>
    </row>
    <row r="985" spans="1:8" ht="39.75" hidden="1" customHeight="1" x14ac:dyDescent="0.25">
      <c r="A985" s="396" t="s">
        <v>133</v>
      </c>
      <c r="B985" s="20" t="s">
        <v>244</v>
      </c>
      <c r="C985" s="20" t="s">
        <v>215</v>
      </c>
      <c r="D985" s="20" t="s">
        <v>1225</v>
      </c>
      <c r="E985" s="20" t="s">
        <v>134</v>
      </c>
      <c r="F985" s="26">
        <f>'Пр.4 ведом.21'!G521</f>
        <v>0</v>
      </c>
      <c r="G985" s="397">
        <f>'Пр.4 ведом.21'!H521</f>
        <v>0</v>
      </c>
      <c r="H985" s="389" t="e">
        <f t="shared" si="165"/>
        <v>#DIV/0!</v>
      </c>
    </row>
    <row r="986" spans="1:8" ht="19.5" customHeight="1" x14ac:dyDescent="0.25">
      <c r="A986" s="396" t="s">
        <v>248</v>
      </c>
      <c r="B986" s="20" t="s">
        <v>244</v>
      </c>
      <c r="C986" s="20" t="s">
        <v>215</v>
      </c>
      <c r="D986" s="20" t="s">
        <v>1225</v>
      </c>
      <c r="E986" s="20" t="s">
        <v>249</v>
      </c>
      <c r="F986" s="26">
        <f>F987</f>
        <v>205</v>
      </c>
      <c r="G986" s="397">
        <f>G987</f>
        <v>205</v>
      </c>
      <c r="H986" s="389">
        <f t="shared" si="165"/>
        <v>100</v>
      </c>
    </row>
    <row r="987" spans="1:8" ht="31.5" x14ac:dyDescent="0.25">
      <c r="A987" s="396" t="s">
        <v>348</v>
      </c>
      <c r="B987" s="20" t="s">
        <v>244</v>
      </c>
      <c r="C987" s="20" t="s">
        <v>215</v>
      </c>
      <c r="D987" s="20" t="s">
        <v>1225</v>
      </c>
      <c r="E987" s="20" t="s">
        <v>349</v>
      </c>
      <c r="F987" s="26">
        <f>'Пр.4 ведом.21'!G523</f>
        <v>205</v>
      </c>
      <c r="G987" s="397">
        <f>'Пр.4 ведом.21'!H523</f>
        <v>205</v>
      </c>
      <c r="H987" s="389">
        <f t="shared" si="165"/>
        <v>100</v>
      </c>
    </row>
    <row r="988" spans="1:8" ht="31.5" x14ac:dyDescent="0.25">
      <c r="A988" s="394" t="s">
        <v>996</v>
      </c>
      <c r="B988" s="19">
        <v>10</v>
      </c>
      <c r="C988" s="24" t="s">
        <v>215</v>
      </c>
      <c r="D988" s="24" t="s">
        <v>1219</v>
      </c>
      <c r="E988" s="24"/>
      <c r="F988" s="21">
        <f t="shared" ref="F988:G990" si="168">F989</f>
        <v>220</v>
      </c>
      <c r="G988" s="393">
        <f t="shared" si="168"/>
        <v>220</v>
      </c>
      <c r="H988" s="492">
        <f t="shared" si="165"/>
        <v>100</v>
      </c>
    </row>
    <row r="989" spans="1:8" ht="15.75" x14ac:dyDescent="0.25">
      <c r="A989" s="396" t="s">
        <v>1036</v>
      </c>
      <c r="B989" s="20" t="s">
        <v>244</v>
      </c>
      <c r="C989" s="20" t="s">
        <v>215</v>
      </c>
      <c r="D989" s="20" t="s">
        <v>1221</v>
      </c>
      <c r="E989" s="20"/>
      <c r="F989" s="26">
        <f t="shared" si="168"/>
        <v>220</v>
      </c>
      <c r="G989" s="397">
        <f t="shared" si="168"/>
        <v>220</v>
      </c>
      <c r="H989" s="389">
        <f t="shared" si="165"/>
        <v>100</v>
      </c>
    </row>
    <row r="990" spans="1:8" s="191" customFormat="1" ht="21.75" customHeight="1" x14ac:dyDescent="0.25">
      <c r="A990" s="396" t="s">
        <v>248</v>
      </c>
      <c r="B990" s="20" t="s">
        <v>244</v>
      </c>
      <c r="C990" s="20" t="s">
        <v>215</v>
      </c>
      <c r="D990" s="20" t="s">
        <v>1221</v>
      </c>
      <c r="E990" s="20" t="s">
        <v>249</v>
      </c>
      <c r="F990" s="26">
        <f t="shared" si="168"/>
        <v>220</v>
      </c>
      <c r="G990" s="397">
        <f t="shared" si="168"/>
        <v>220</v>
      </c>
      <c r="H990" s="389">
        <f t="shared" si="165"/>
        <v>100</v>
      </c>
    </row>
    <row r="991" spans="1:8" s="191" customFormat="1" ht="31.5" x14ac:dyDescent="0.25">
      <c r="A991" s="396" t="s">
        <v>348</v>
      </c>
      <c r="B991" s="20" t="s">
        <v>244</v>
      </c>
      <c r="C991" s="20" t="s">
        <v>215</v>
      </c>
      <c r="D991" s="20" t="s">
        <v>1221</v>
      </c>
      <c r="E991" s="20" t="s">
        <v>349</v>
      </c>
      <c r="F991" s="26">
        <f>'Пр.4 ведом.21'!G527</f>
        <v>220</v>
      </c>
      <c r="G991" s="397">
        <f>'Пр.4 ведом.21'!H527</f>
        <v>220</v>
      </c>
      <c r="H991" s="389">
        <f t="shared" si="165"/>
        <v>100</v>
      </c>
    </row>
    <row r="992" spans="1:8" ht="69" hidden="1" customHeight="1" x14ac:dyDescent="0.25">
      <c r="A992" s="394" t="s">
        <v>1345</v>
      </c>
      <c r="B992" s="24" t="s">
        <v>244</v>
      </c>
      <c r="C992" s="24" t="s">
        <v>215</v>
      </c>
      <c r="D992" s="24" t="s">
        <v>254</v>
      </c>
      <c r="E992" s="24"/>
      <c r="F992" s="4">
        <f t="shared" ref="F992:G994" si="169">F993</f>
        <v>0</v>
      </c>
      <c r="G992" s="388">
        <f t="shared" si="169"/>
        <v>0</v>
      </c>
      <c r="H992" s="389" t="e">
        <f t="shared" si="165"/>
        <v>#DIV/0!</v>
      </c>
    </row>
    <row r="993" spans="1:8" ht="47.25" hidden="1" x14ac:dyDescent="0.25">
      <c r="A993" s="394" t="s">
        <v>883</v>
      </c>
      <c r="B993" s="24" t="s">
        <v>244</v>
      </c>
      <c r="C993" s="24" t="s">
        <v>215</v>
      </c>
      <c r="D993" s="24" t="s">
        <v>881</v>
      </c>
      <c r="E993" s="24"/>
      <c r="F993" s="4">
        <f>F994</f>
        <v>0</v>
      </c>
      <c r="G993" s="388">
        <f>G994</f>
        <v>0</v>
      </c>
      <c r="H993" s="389" t="e">
        <f t="shared" si="165"/>
        <v>#DIV/0!</v>
      </c>
    </row>
    <row r="994" spans="1:8" ht="31.5" hidden="1" x14ac:dyDescent="0.25">
      <c r="A994" s="396" t="s">
        <v>882</v>
      </c>
      <c r="B994" s="20" t="s">
        <v>244</v>
      </c>
      <c r="C994" s="20" t="s">
        <v>215</v>
      </c>
      <c r="D994" s="20" t="s">
        <v>1186</v>
      </c>
      <c r="E994" s="20"/>
      <c r="F994" s="6">
        <f t="shared" si="169"/>
        <v>0</v>
      </c>
      <c r="G994" s="389">
        <f t="shared" si="169"/>
        <v>0</v>
      </c>
      <c r="H994" s="389" t="e">
        <f t="shared" si="165"/>
        <v>#DIV/0!</v>
      </c>
    </row>
    <row r="995" spans="1:8" ht="19.5" hidden="1" customHeight="1" x14ac:dyDescent="0.25">
      <c r="A995" s="396" t="s">
        <v>248</v>
      </c>
      <c r="B995" s="20" t="s">
        <v>244</v>
      </c>
      <c r="C995" s="20" t="s">
        <v>215</v>
      </c>
      <c r="D995" s="20" t="s">
        <v>1186</v>
      </c>
      <c r="E995" s="20" t="s">
        <v>249</v>
      </c>
      <c r="F995" s="6">
        <f>F996</f>
        <v>0</v>
      </c>
      <c r="G995" s="389">
        <f>G996</f>
        <v>0</v>
      </c>
      <c r="H995" s="389" t="e">
        <f t="shared" si="165"/>
        <v>#DIV/0!</v>
      </c>
    </row>
    <row r="996" spans="1:8" ht="31.5" hidden="1" x14ac:dyDescent="0.25">
      <c r="A996" s="396" t="s">
        <v>250</v>
      </c>
      <c r="B996" s="20" t="s">
        <v>244</v>
      </c>
      <c r="C996" s="20" t="s">
        <v>215</v>
      </c>
      <c r="D996" s="20" t="s">
        <v>1186</v>
      </c>
      <c r="E996" s="20" t="s">
        <v>251</v>
      </c>
      <c r="F996" s="6">
        <f>'Пр.4 ведом.21'!G250</f>
        <v>0</v>
      </c>
      <c r="G996" s="389">
        <f>'Пр.4 ведом.21'!H250</f>
        <v>0</v>
      </c>
      <c r="H996" s="389" t="e">
        <f t="shared" si="165"/>
        <v>#DIV/0!</v>
      </c>
    </row>
    <row r="997" spans="1:8" s="191" customFormat="1" ht="15.75" hidden="1" x14ac:dyDescent="0.25">
      <c r="A997" s="394" t="s">
        <v>400</v>
      </c>
      <c r="B997" s="24" t="s">
        <v>244</v>
      </c>
      <c r="C997" s="24" t="s">
        <v>150</v>
      </c>
      <c r="D997" s="24"/>
      <c r="E997" s="24"/>
      <c r="F997" s="4">
        <f t="shared" ref="F997:G1000" si="170">F998</f>
        <v>0</v>
      </c>
      <c r="G997" s="388">
        <f t="shared" si="170"/>
        <v>0</v>
      </c>
      <c r="H997" s="389" t="e">
        <f t="shared" si="165"/>
        <v>#DIV/0!</v>
      </c>
    </row>
    <row r="998" spans="1:8" s="191" customFormat="1" ht="31.5" hidden="1" x14ac:dyDescent="0.25">
      <c r="A998" s="394" t="s">
        <v>884</v>
      </c>
      <c r="B998" s="24" t="s">
        <v>244</v>
      </c>
      <c r="C998" s="24" t="s">
        <v>150</v>
      </c>
      <c r="D998" s="24" t="s">
        <v>862</v>
      </c>
      <c r="E998" s="20"/>
      <c r="F998" s="21">
        <f t="shared" si="170"/>
        <v>0</v>
      </c>
      <c r="G998" s="393">
        <f t="shared" si="170"/>
        <v>0</v>
      </c>
      <c r="H998" s="389" t="e">
        <f t="shared" si="165"/>
        <v>#DIV/0!</v>
      </c>
    </row>
    <row r="999" spans="1:8" s="191" customFormat="1" ht="47.25" hidden="1" x14ac:dyDescent="0.25">
      <c r="A999" s="396" t="s">
        <v>1169</v>
      </c>
      <c r="B999" s="20" t="s">
        <v>244</v>
      </c>
      <c r="C999" s="20" t="s">
        <v>150</v>
      </c>
      <c r="D999" s="20" t="s">
        <v>1168</v>
      </c>
      <c r="E999" s="20"/>
      <c r="F999" s="26">
        <f t="shared" si="170"/>
        <v>0</v>
      </c>
      <c r="G999" s="397">
        <f t="shared" si="170"/>
        <v>0</v>
      </c>
      <c r="H999" s="389" t="e">
        <f t="shared" si="165"/>
        <v>#DIV/0!</v>
      </c>
    </row>
    <row r="1000" spans="1:8" s="191" customFormat="1" ht="31.5" hidden="1" x14ac:dyDescent="0.25">
      <c r="A1000" s="396" t="s">
        <v>131</v>
      </c>
      <c r="B1000" s="20" t="s">
        <v>244</v>
      </c>
      <c r="C1000" s="20" t="s">
        <v>150</v>
      </c>
      <c r="D1000" s="20" t="s">
        <v>1168</v>
      </c>
      <c r="E1000" s="20" t="s">
        <v>132</v>
      </c>
      <c r="F1000" s="26">
        <f t="shared" si="170"/>
        <v>0</v>
      </c>
      <c r="G1000" s="397">
        <f t="shared" si="170"/>
        <v>0</v>
      </c>
      <c r="H1000" s="389" t="e">
        <f t="shared" si="165"/>
        <v>#DIV/0!</v>
      </c>
    </row>
    <row r="1001" spans="1:8" s="191" customFormat="1" ht="31.5" hidden="1" x14ac:dyDescent="0.25">
      <c r="A1001" s="396" t="s">
        <v>133</v>
      </c>
      <c r="B1001" s="20" t="s">
        <v>244</v>
      </c>
      <c r="C1001" s="20" t="s">
        <v>150</v>
      </c>
      <c r="D1001" s="20" t="s">
        <v>1168</v>
      </c>
      <c r="E1001" s="20" t="s">
        <v>134</v>
      </c>
      <c r="F1001" s="26">
        <f>'Пр.4 ведом.21'!G620</f>
        <v>0</v>
      </c>
      <c r="G1001" s="397">
        <f>'Пр.4 ведом.21'!H620</f>
        <v>0</v>
      </c>
      <c r="H1001" s="389" t="e">
        <f t="shared" si="165"/>
        <v>#DIV/0!</v>
      </c>
    </row>
    <row r="1002" spans="1:8" s="191" customFormat="1" ht="15.75" x14ac:dyDescent="0.25">
      <c r="A1002" s="394" t="s">
        <v>258</v>
      </c>
      <c r="B1002" s="24" t="s">
        <v>244</v>
      </c>
      <c r="C1002" s="24" t="s">
        <v>120</v>
      </c>
      <c r="D1002" s="24"/>
      <c r="E1002" s="24"/>
      <c r="F1002" s="4">
        <f>F1003+F1010</f>
        <v>3619.2000000000007</v>
      </c>
      <c r="G1002" s="388">
        <f>G1003+G1010</f>
        <v>3041.5409999999997</v>
      </c>
      <c r="H1002" s="492">
        <f t="shared" si="165"/>
        <v>84.039041777188302</v>
      </c>
    </row>
    <row r="1003" spans="1:8" s="191" customFormat="1" ht="31.5" x14ac:dyDescent="0.25">
      <c r="A1003" s="394" t="s">
        <v>916</v>
      </c>
      <c r="B1003" s="24" t="s">
        <v>244</v>
      </c>
      <c r="C1003" s="24" t="s">
        <v>120</v>
      </c>
      <c r="D1003" s="24" t="s">
        <v>857</v>
      </c>
      <c r="E1003" s="24"/>
      <c r="F1003" s="4">
        <f>F1004</f>
        <v>3619.2000000000007</v>
      </c>
      <c r="G1003" s="388">
        <f>G1004</f>
        <v>3041.5409999999997</v>
      </c>
      <c r="H1003" s="492">
        <f t="shared" si="165"/>
        <v>84.039041777188302</v>
      </c>
    </row>
    <row r="1004" spans="1:8" ht="31.5" x14ac:dyDescent="0.25">
      <c r="A1004" s="394" t="s">
        <v>884</v>
      </c>
      <c r="B1004" s="24" t="s">
        <v>244</v>
      </c>
      <c r="C1004" s="24" t="s">
        <v>120</v>
      </c>
      <c r="D1004" s="24" t="s">
        <v>862</v>
      </c>
      <c r="E1004" s="24"/>
      <c r="F1004" s="4">
        <f>F1005</f>
        <v>3619.2000000000007</v>
      </c>
      <c r="G1004" s="388">
        <f>G1005</f>
        <v>3041.5409999999997</v>
      </c>
      <c r="H1004" s="492">
        <f t="shared" si="165"/>
        <v>84.039041777188302</v>
      </c>
    </row>
    <row r="1005" spans="1:8" ht="43.5" customHeight="1" x14ac:dyDescent="0.25">
      <c r="A1005" s="31" t="s">
        <v>259</v>
      </c>
      <c r="B1005" s="20" t="s">
        <v>244</v>
      </c>
      <c r="C1005" s="20" t="s">
        <v>120</v>
      </c>
      <c r="D1005" s="20" t="s">
        <v>924</v>
      </c>
      <c r="E1005" s="20"/>
      <c r="F1005" s="6">
        <f>F1006+F1008</f>
        <v>3619.2000000000007</v>
      </c>
      <c r="G1005" s="389">
        <f>G1006+G1008</f>
        <v>3041.5409999999997</v>
      </c>
      <c r="H1005" s="389">
        <f t="shared" si="165"/>
        <v>84.039041777188302</v>
      </c>
    </row>
    <row r="1006" spans="1:8" ht="78.75" x14ac:dyDescent="0.25">
      <c r="A1006" s="396" t="s">
        <v>127</v>
      </c>
      <c r="B1006" s="20" t="s">
        <v>244</v>
      </c>
      <c r="C1006" s="20" t="s">
        <v>120</v>
      </c>
      <c r="D1006" s="20" t="s">
        <v>924</v>
      </c>
      <c r="E1006" s="20" t="s">
        <v>128</v>
      </c>
      <c r="F1006" s="6">
        <f t="shared" ref="F1006:G1006" si="171">F1007</f>
        <v>3313.0000000000005</v>
      </c>
      <c r="G1006" s="389">
        <f t="shared" si="171"/>
        <v>2806.3589999999999</v>
      </c>
      <c r="H1006" s="389">
        <f t="shared" si="165"/>
        <v>84.707485662541487</v>
      </c>
    </row>
    <row r="1007" spans="1:8" ht="31.5" x14ac:dyDescent="0.25">
      <c r="A1007" s="396" t="s">
        <v>129</v>
      </c>
      <c r="B1007" s="20" t="s">
        <v>244</v>
      </c>
      <c r="C1007" s="20" t="s">
        <v>120</v>
      </c>
      <c r="D1007" s="20" t="s">
        <v>924</v>
      </c>
      <c r="E1007" s="20" t="s">
        <v>130</v>
      </c>
      <c r="F1007" s="6">
        <f>'Пр.4 ведом.21'!G256</f>
        <v>3313.0000000000005</v>
      </c>
      <c r="G1007" s="389">
        <f>'Пр.4 ведом.21'!H256</f>
        <v>2806.3589999999999</v>
      </c>
      <c r="H1007" s="389">
        <f t="shared" si="165"/>
        <v>84.707485662541487</v>
      </c>
    </row>
    <row r="1008" spans="1:8" ht="32.25" customHeight="1" x14ac:dyDescent="0.25">
      <c r="A1008" s="396" t="s">
        <v>131</v>
      </c>
      <c r="B1008" s="20" t="s">
        <v>244</v>
      </c>
      <c r="C1008" s="20" t="s">
        <v>120</v>
      </c>
      <c r="D1008" s="20" t="s">
        <v>924</v>
      </c>
      <c r="E1008" s="20" t="s">
        <v>132</v>
      </c>
      <c r="F1008" s="6">
        <f t="shared" ref="F1008:G1008" si="172">F1009</f>
        <v>306.20000000000005</v>
      </c>
      <c r="G1008" s="389">
        <f t="shared" si="172"/>
        <v>235.18199999999999</v>
      </c>
      <c r="H1008" s="389">
        <f t="shared" si="165"/>
        <v>76.806662312214229</v>
      </c>
    </row>
    <row r="1009" spans="1:8" ht="31.7" customHeight="1" x14ac:dyDescent="0.25">
      <c r="A1009" s="396" t="s">
        <v>133</v>
      </c>
      <c r="B1009" s="20" t="s">
        <v>244</v>
      </c>
      <c r="C1009" s="20" t="s">
        <v>120</v>
      </c>
      <c r="D1009" s="20" t="s">
        <v>924</v>
      </c>
      <c r="E1009" s="20" t="s">
        <v>134</v>
      </c>
      <c r="F1009" s="6">
        <f>'Пр.4 ведом.21'!G258</f>
        <v>306.20000000000005</v>
      </c>
      <c r="G1009" s="389">
        <f>'Пр.4 ведом.21'!H258</f>
        <v>235.18199999999999</v>
      </c>
      <c r="H1009" s="389">
        <f t="shared" si="165"/>
        <v>76.806662312214229</v>
      </c>
    </row>
    <row r="1010" spans="1:8" s="191" customFormat="1" ht="15" hidden="1" customHeight="1" x14ac:dyDescent="0.25">
      <c r="A1010" s="394" t="s">
        <v>141</v>
      </c>
      <c r="B1010" s="24" t="s">
        <v>244</v>
      </c>
      <c r="C1010" s="24" t="s">
        <v>120</v>
      </c>
      <c r="D1010" s="24" t="s">
        <v>865</v>
      </c>
      <c r="E1010" s="24"/>
      <c r="F1010" s="4">
        <f t="shared" ref="F1010:G1013" si="173">F1011</f>
        <v>0</v>
      </c>
      <c r="G1010" s="388">
        <f t="shared" si="173"/>
        <v>0</v>
      </c>
      <c r="H1010" s="389" t="e">
        <f t="shared" si="165"/>
        <v>#DIV/0!</v>
      </c>
    </row>
    <row r="1011" spans="1:8" ht="37.5" hidden="1" customHeight="1" x14ac:dyDescent="0.25">
      <c r="A1011" s="394" t="s">
        <v>869</v>
      </c>
      <c r="B1011" s="24" t="s">
        <v>244</v>
      </c>
      <c r="C1011" s="24" t="s">
        <v>120</v>
      </c>
      <c r="D1011" s="24" t="s">
        <v>864</v>
      </c>
      <c r="E1011" s="24"/>
      <c r="F1011" s="4">
        <f t="shared" si="173"/>
        <v>0</v>
      </c>
      <c r="G1011" s="388">
        <f t="shared" si="173"/>
        <v>0</v>
      </c>
      <c r="H1011" s="389" t="e">
        <f t="shared" si="165"/>
        <v>#DIV/0!</v>
      </c>
    </row>
    <row r="1012" spans="1:8" ht="15.75" hidden="1" customHeight="1" x14ac:dyDescent="0.25">
      <c r="A1012" s="396" t="s">
        <v>572</v>
      </c>
      <c r="B1012" s="20" t="s">
        <v>244</v>
      </c>
      <c r="C1012" s="20" t="s">
        <v>120</v>
      </c>
      <c r="D1012" s="20" t="s">
        <v>984</v>
      </c>
      <c r="E1012" s="20"/>
      <c r="F1012" s="6">
        <f t="shared" si="173"/>
        <v>0</v>
      </c>
      <c r="G1012" s="389">
        <f t="shared" si="173"/>
        <v>0</v>
      </c>
      <c r="H1012" s="389" t="e">
        <f t="shared" si="165"/>
        <v>#DIV/0!</v>
      </c>
    </row>
    <row r="1013" spans="1:8" ht="31.7" hidden="1" customHeight="1" x14ac:dyDescent="0.25">
      <c r="A1013" s="396" t="s">
        <v>131</v>
      </c>
      <c r="B1013" s="20" t="s">
        <v>244</v>
      </c>
      <c r="C1013" s="20" t="s">
        <v>120</v>
      </c>
      <c r="D1013" s="20" t="s">
        <v>984</v>
      </c>
      <c r="E1013" s="20" t="s">
        <v>132</v>
      </c>
      <c r="F1013" s="6">
        <f t="shared" si="173"/>
        <v>0</v>
      </c>
      <c r="G1013" s="389">
        <f t="shared" si="173"/>
        <v>0</v>
      </c>
      <c r="H1013" s="389" t="e">
        <f t="shared" si="165"/>
        <v>#DIV/0!</v>
      </c>
    </row>
    <row r="1014" spans="1:8" ht="35.450000000000003" hidden="1" customHeight="1" x14ac:dyDescent="0.25">
      <c r="A1014" s="396" t="s">
        <v>133</v>
      </c>
      <c r="B1014" s="20" t="s">
        <v>244</v>
      </c>
      <c r="C1014" s="20" t="s">
        <v>120</v>
      </c>
      <c r="D1014" s="20" t="s">
        <v>984</v>
      </c>
      <c r="E1014" s="20" t="s">
        <v>134</v>
      </c>
      <c r="F1014" s="6">
        <f>'Пр.4 ведом.21'!G1212</f>
        <v>0</v>
      </c>
      <c r="G1014" s="389">
        <f>'Пр.4 ведом.21'!H1212</f>
        <v>0</v>
      </c>
      <c r="H1014" s="389" t="e">
        <f t="shared" si="165"/>
        <v>#DIV/0!</v>
      </c>
    </row>
    <row r="1015" spans="1:8" ht="15.75" x14ac:dyDescent="0.25">
      <c r="A1015" s="400" t="s">
        <v>490</v>
      </c>
      <c r="B1015" s="7" t="s">
        <v>491</v>
      </c>
      <c r="C1015" s="40"/>
      <c r="D1015" s="40"/>
      <c r="E1015" s="40"/>
      <c r="F1015" s="4">
        <f>F1016+F1062</f>
        <v>70582.803799999994</v>
      </c>
      <c r="G1015" s="388">
        <f>G1016+G1062</f>
        <v>70115.94</v>
      </c>
      <c r="H1015" s="492">
        <f t="shared" si="165"/>
        <v>99.338558721295811</v>
      </c>
    </row>
    <row r="1016" spans="1:8" ht="15.75" x14ac:dyDescent="0.25">
      <c r="A1016" s="394" t="s">
        <v>492</v>
      </c>
      <c r="B1016" s="24" t="s">
        <v>491</v>
      </c>
      <c r="C1016" s="24" t="s">
        <v>118</v>
      </c>
      <c r="D1016" s="20"/>
      <c r="E1016" s="20"/>
      <c r="F1016" s="4">
        <f>F1017+F1057</f>
        <v>56758.36</v>
      </c>
      <c r="G1016" s="388">
        <f>G1017+G1057</f>
        <v>56683.628999999994</v>
      </c>
      <c r="H1016" s="492">
        <f t="shared" si="165"/>
        <v>99.868334814466081</v>
      </c>
    </row>
    <row r="1017" spans="1:8" ht="47.25" x14ac:dyDescent="0.25">
      <c r="A1017" s="394" t="s">
        <v>1368</v>
      </c>
      <c r="B1017" s="24" t="s">
        <v>491</v>
      </c>
      <c r="C1017" s="24" t="s">
        <v>118</v>
      </c>
      <c r="D1017" s="24" t="s">
        <v>482</v>
      </c>
      <c r="E1017" s="24"/>
      <c r="F1017" s="4">
        <f>F1018+F1025+F1038+F1045+F1053+F1049</f>
        <v>56216.06</v>
      </c>
      <c r="G1017" s="388">
        <f>G1018+G1025+G1038+G1045+G1053+G1049</f>
        <v>56182.674999999996</v>
      </c>
      <c r="H1017" s="492">
        <f t="shared" si="165"/>
        <v>99.940613056126665</v>
      </c>
    </row>
    <row r="1018" spans="1:8" ht="31.5" x14ac:dyDescent="0.25">
      <c r="A1018" s="394" t="s">
        <v>936</v>
      </c>
      <c r="B1018" s="24" t="s">
        <v>491</v>
      </c>
      <c r="C1018" s="24" t="s">
        <v>118</v>
      </c>
      <c r="D1018" s="24" t="s">
        <v>1261</v>
      </c>
      <c r="E1018" s="24"/>
      <c r="F1018" s="4">
        <f>F1019+F1022</f>
        <v>47847.829999999994</v>
      </c>
      <c r="G1018" s="388">
        <f>G1019+G1022</f>
        <v>47847.829999999994</v>
      </c>
      <c r="H1018" s="492">
        <f t="shared" si="165"/>
        <v>100</v>
      </c>
    </row>
    <row r="1019" spans="1:8" ht="31.5" x14ac:dyDescent="0.25">
      <c r="A1019" s="396" t="s">
        <v>1291</v>
      </c>
      <c r="B1019" s="20" t="s">
        <v>491</v>
      </c>
      <c r="C1019" s="20" t="s">
        <v>118</v>
      </c>
      <c r="D1019" s="20" t="s">
        <v>1262</v>
      </c>
      <c r="E1019" s="20"/>
      <c r="F1019" s="6">
        <f>F1020</f>
        <v>46925.63</v>
      </c>
      <c r="G1019" s="389">
        <f>G1020</f>
        <v>46925.63</v>
      </c>
      <c r="H1019" s="389">
        <f t="shared" si="165"/>
        <v>100</v>
      </c>
    </row>
    <row r="1020" spans="1:8" ht="31.5" x14ac:dyDescent="0.25">
      <c r="A1020" s="396" t="s">
        <v>272</v>
      </c>
      <c r="B1020" s="20" t="s">
        <v>491</v>
      </c>
      <c r="C1020" s="20" t="s">
        <v>118</v>
      </c>
      <c r="D1020" s="20" t="s">
        <v>1262</v>
      </c>
      <c r="E1020" s="20" t="s">
        <v>273</v>
      </c>
      <c r="F1020" s="6">
        <f>F1021</f>
        <v>46925.63</v>
      </c>
      <c r="G1020" s="389">
        <f>G1021</f>
        <v>46925.63</v>
      </c>
      <c r="H1020" s="389">
        <f t="shared" si="165"/>
        <v>100</v>
      </c>
    </row>
    <row r="1021" spans="1:8" ht="15.75" x14ac:dyDescent="0.25">
      <c r="A1021" s="396" t="s">
        <v>274</v>
      </c>
      <c r="B1021" s="20" t="s">
        <v>491</v>
      </c>
      <c r="C1021" s="20" t="s">
        <v>118</v>
      </c>
      <c r="D1021" s="20" t="s">
        <v>1262</v>
      </c>
      <c r="E1021" s="20" t="s">
        <v>275</v>
      </c>
      <c r="F1021" s="6">
        <f>'Пр.4 ведом.21'!G883</f>
        <v>46925.63</v>
      </c>
      <c r="G1021" s="389">
        <f>'Пр.4 ведом.21'!H883</f>
        <v>46925.63</v>
      </c>
      <c r="H1021" s="389">
        <f t="shared" si="165"/>
        <v>100</v>
      </c>
    </row>
    <row r="1022" spans="1:8" s="387" customFormat="1" ht="47.25" x14ac:dyDescent="0.25">
      <c r="A1022" s="396" t="s">
        <v>1660</v>
      </c>
      <c r="B1022" s="392" t="s">
        <v>491</v>
      </c>
      <c r="C1022" s="392" t="s">
        <v>118</v>
      </c>
      <c r="D1022" s="392" t="s">
        <v>1665</v>
      </c>
      <c r="E1022" s="392"/>
      <c r="F1022" s="389">
        <f>F1023</f>
        <v>922.2</v>
      </c>
      <c r="G1022" s="389">
        <f>G1023</f>
        <v>922.2</v>
      </c>
      <c r="H1022" s="389">
        <f t="shared" si="165"/>
        <v>100</v>
      </c>
    </row>
    <row r="1023" spans="1:8" s="387" customFormat="1" ht="31.5" x14ac:dyDescent="0.25">
      <c r="A1023" s="396" t="s">
        <v>272</v>
      </c>
      <c r="B1023" s="392" t="s">
        <v>491</v>
      </c>
      <c r="C1023" s="392" t="s">
        <v>118</v>
      </c>
      <c r="D1023" s="392" t="s">
        <v>1665</v>
      </c>
      <c r="E1023" s="392" t="s">
        <v>273</v>
      </c>
      <c r="F1023" s="389">
        <f>F1024</f>
        <v>922.2</v>
      </c>
      <c r="G1023" s="389">
        <f>G1024</f>
        <v>922.2</v>
      </c>
      <c r="H1023" s="389">
        <f t="shared" si="165"/>
        <v>100</v>
      </c>
    </row>
    <row r="1024" spans="1:8" s="387" customFormat="1" ht="15.75" x14ac:dyDescent="0.25">
      <c r="A1024" s="396" t="s">
        <v>274</v>
      </c>
      <c r="B1024" s="392" t="s">
        <v>491</v>
      </c>
      <c r="C1024" s="392" t="s">
        <v>118</v>
      </c>
      <c r="D1024" s="392" t="s">
        <v>1665</v>
      </c>
      <c r="E1024" s="392" t="s">
        <v>275</v>
      </c>
      <c r="F1024" s="389">
        <f>'Пр.4 ведом.21'!G886</f>
        <v>922.2</v>
      </c>
      <c r="G1024" s="389">
        <f>'Пр.4 ведом.21'!H886</f>
        <v>922.2</v>
      </c>
      <c r="H1024" s="389">
        <f t="shared" si="165"/>
        <v>100</v>
      </c>
    </row>
    <row r="1025" spans="1:8" ht="31.5" x14ac:dyDescent="0.25">
      <c r="A1025" s="394" t="s">
        <v>944</v>
      </c>
      <c r="B1025" s="24" t="s">
        <v>491</v>
      </c>
      <c r="C1025" s="24" t="s">
        <v>118</v>
      </c>
      <c r="D1025" s="24" t="s">
        <v>1263</v>
      </c>
      <c r="E1025" s="24"/>
      <c r="F1025" s="4">
        <f>F1026+F1029+F1032+F1035</f>
        <v>1211.5</v>
      </c>
      <c r="G1025" s="388">
        <f>G1026+G1029+G1032+G1035</f>
        <v>1210.472</v>
      </c>
      <c r="H1025" s="492">
        <f t="shared" si="165"/>
        <v>99.915146512587711</v>
      </c>
    </row>
    <row r="1026" spans="1:8" ht="31.5" x14ac:dyDescent="0.25">
      <c r="A1026" s="396" t="s">
        <v>278</v>
      </c>
      <c r="B1026" s="20" t="s">
        <v>491</v>
      </c>
      <c r="C1026" s="20" t="s">
        <v>118</v>
      </c>
      <c r="D1026" s="20" t="s">
        <v>1321</v>
      </c>
      <c r="E1026" s="20"/>
      <c r="F1026" s="6">
        <f t="shared" ref="F1026:G1026" si="174">F1027</f>
        <v>232.9</v>
      </c>
      <c r="G1026" s="389">
        <f t="shared" si="174"/>
        <v>231.904</v>
      </c>
      <c r="H1026" s="389">
        <f t="shared" si="165"/>
        <v>99.572348647488184</v>
      </c>
    </row>
    <row r="1027" spans="1:8" ht="31.5" x14ac:dyDescent="0.25">
      <c r="A1027" s="396" t="s">
        <v>272</v>
      </c>
      <c r="B1027" s="20" t="s">
        <v>491</v>
      </c>
      <c r="C1027" s="20" t="s">
        <v>118</v>
      </c>
      <c r="D1027" s="20" t="s">
        <v>1321</v>
      </c>
      <c r="E1027" s="20" t="s">
        <v>273</v>
      </c>
      <c r="F1027" s="6">
        <f>'Пр.4 ведом.21'!G890</f>
        <v>232.9</v>
      </c>
      <c r="G1027" s="389">
        <f>'Пр.4 ведом.21'!H890</f>
        <v>231.904</v>
      </c>
      <c r="H1027" s="389">
        <f t="shared" si="165"/>
        <v>99.572348647488184</v>
      </c>
    </row>
    <row r="1028" spans="1:8" ht="20.25" customHeight="1" x14ac:dyDescent="0.25">
      <c r="A1028" s="396" t="s">
        <v>274</v>
      </c>
      <c r="B1028" s="20" t="s">
        <v>491</v>
      </c>
      <c r="C1028" s="20" t="s">
        <v>118</v>
      </c>
      <c r="D1028" s="20" t="s">
        <v>1321</v>
      </c>
      <c r="E1028" s="20" t="s">
        <v>275</v>
      </c>
      <c r="F1028" s="6">
        <f>'Пр.4 ведом.21'!G890</f>
        <v>232.9</v>
      </c>
      <c r="G1028" s="389">
        <f>'Пр.4 ведом.21'!H890</f>
        <v>231.904</v>
      </c>
      <c r="H1028" s="389">
        <f t="shared" si="165"/>
        <v>99.572348647488184</v>
      </c>
    </row>
    <row r="1029" spans="1:8" ht="33" customHeight="1" x14ac:dyDescent="0.25">
      <c r="A1029" s="396" t="s">
        <v>280</v>
      </c>
      <c r="B1029" s="20" t="s">
        <v>491</v>
      </c>
      <c r="C1029" s="20" t="s">
        <v>118</v>
      </c>
      <c r="D1029" s="20" t="s">
        <v>1322</v>
      </c>
      <c r="E1029" s="20"/>
      <c r="F1029" s="6">
        <f t="shared" ref="F1029:G1029" si="175">F1030</f>
        <v>642.6</v>
      </c>
      <c r="G1029" s="389">
        <f t="shared" si="175"/>
        <v>642.56799999999998</v>
      </c>
      <c r="H1029" s="389">
        <f t="shared" si="165"/>
        <v>99.995020230314353</v>
      </c>
    </row>
    <row r="1030" spans="1:8" ht="51" customHeight="1" x14ac:dyDescent="0.25">
      <c r="A1030" s="396" t="s">
        <v>272</v>
      </c>
      <c r="B1030" s="20" t="s">
        <v>491</v>
      </c>
      <c r="C1030" s="20" t="s">
        <v>118</v>
      </c>
      <c r="D1030" s="20" t="s">
        <v>1322</v>
      </c>
      <c r="E1030" s="20" t="s">
        <v>273</v>
      </c>
      <c r="F1030" s="6">
        <f>'Пр.4 ведом.21'!G893</f>
        <v>642.6</v>
      </c>
      <c r="G1030" s="389">
        <f>'Пр.4 ведом.21'!H893</f>
        <v>642.56799999999998</v>
      </c>
      <c r="H1030" s="389">
        <f t="shared" si="165"/>
        <v>99.995020230314353</v>
      </c>
    </row>
    <row r="1031" spans="1:8" s="191" customFormat="1" ht="15.75" customHeight="1" x14ac:dyDescent="0.25">
      <c r="A1031" s="396" t="s">
        <v>274</v>
      </c>
      <c r="B1031" s="20" t="s">
        <v>491</v>
      </c>
      <c r="C1031" s="20" t="s">
        <v>118</v>
      </c>
      <c r="D1031" s="20" t="s">
        <v>1322</v>
      </c>
      <c r="E1031" s="20" t="s">
        <v>275</v>
      </c>
      <c r="F1031" s="6">
        <f>'Пр.4 ведом.21'!G893</f>
        <v>642.6</v>
      </c>
      <c r="G1031" s="389">
        <f>'Пр.4 ведом.21'!H893</f>
        <v>642.56799999999998</v>
      </c>
      <c r="H1031" s="389">
        <f t="shared" si="165"/>
        <v>99.995020230314353</v>
      </c>
    </row>
    <row r="1032" spans="1:8" s="191" customFormat="1" ht="20.25" customHeight="1" x14ac:dyDescent="0.25">
      <c r="A1032" s="396" t="s">
        <v>829</v>
      </c>
      <c r="B1032" s="20" t="s">
        <v>491</v>
      </c>
      <c r="C1032" s="20" t="s">
        <v>118</v>
      </c>
      <c r="D1032" s="20" t="s">
        <v>1264</v>
      </c>
      <c r="E1032" s="20"/>
      <c r="F1032" s="6">
        <f>F1033</f>
        <v>36</v>
      </c>
      <c r="G1032" s="389">
        <f>G1033</f>
        <v>36</v>
      </c>
      <c r="H1032" s="389">
        <f t="shared" si="165"/>
        <v>100</v>
      </c>
    </row>
    <row r="1033" spans="1:8" s="191" customFormat="1" ht="45" customHeight="1" x14ac:dyDescent="0.25">
      <c r="A1033" s="396" t="s">
        <v>272</v>
      </c>
      <c r="B1033" s="20" t="s">
        <v>491</v>
      </c>
      <c r="C1033" s="20" t="s">
        <v>118</v>
      </c>
      <c r="D1033" s="20" t="s">
        <v>1264</v>
      </c>
      <c r="E1033" s="20" t="s">
        <v>273</v>
      </c>
      <c r="F1033" s="6">
        <f>'Пр.4 ведом.21'!G896</f>
        <v>36</v>
      </c>
      <c r="G1033" s="389">
        <f>'Пр.4 ведом.21'!H896</f>
        <v>36</v>
      </c>
      <c r="H1033" s="389">
        <f t="shared" ref="H1033:H1096" si="176">G1033/F1033*100</f>
        <v>100</v>
      </c>
    </row>
    <row r="1034" spans="1:8" ht="20.25" customHeight="1" x14ac:dyDescent="0.25">
      <c r="A1034" s="396" t="s">
        <v>274</v>
      </c>
      <c r="B1034" s="20" t="s">
        <v>491</v>
      </c>
      <c r="C1034" s="20" t="s">
        <v>118</v>
      </c>
      <c r="D1034" s="20" t="s">
        <v>1264</v>
      </c>
      <c r="E1034" s="20" t="s">
        <v>275</v>
      </c>
      <c r="F1034" s="6">
        <f>'Пр.4 ведом.21'!G896</f>
        <v>36</v>
      </c>
      <c r="G1034" s="389">
        <f>'Пр.4 ведом.21'!H896</f>
        <v>36</v>
      </c>
      <c r="H1034" s="389">
        <f t="shared" si="176"/>
        <v>100</v>
      </c>
    </row>
    <row r="1035" spans="1:8" s="387" customFormat="1" ht="39.75" customHeight="1" x14ac:dyDescent="0.25">
      <c r="A1035" s="396" t="s">
        <v>287</v>
      </c>
      <c r="B1035" s="392" t="s">
        <v>491</v>
      </c>
      <c r="C1035" s="392" t="s">
        <v>118</v>
      </c>
      <c r="D1035" s="392" t="s">
        <v>1606</v>
      </c>
      <c r="E1035" s="392"/>
      <c r="F1035" s="389">
        <f>F1036</f>
        <v>300</v>
      </c>
      <c r="G1035" s="389">
        <f>G1036</f>
        <v>300</v>
      </c>
      <c r="H1035" s="389">
        <f t="shared" si="176"/>
        <v>100</v>
      </c>
    </row>
    <row r="1036" spans="1:8" s="387" customFormat="1" ht="57.75" customHeight="1" x14ac:dyDescent="0.25">
      <c r="A1036" s="396" t="s">
        <v>272</v>
      </c>
      <c r="B1036" s="392" t="s">
        <v>491</v>
      </c>
      <c r="C1036" s="392" t="s">
        <v>118</v>
      </c>
      <c r="D1036" s="392" t="s">
        <v>1606</v>
      </c>
      <c r="E1036" s="392" t="s">
        <v>273</v>
      </c>
      <c r="F1036" s="389">
        <f>F1037</f>
        <v>300</v>
      </c>
      <c r="G1036" s="389">
        <f>G1037</f>
        <v>300</v>
      </c>
      <c r="H1036" s="389">
        <f t="shared" si="176"/>
        <v>100</v>
      </c>
    </row>
    <row r="1037" spans="1:8" s="387" customFormat="1" ht="20.25" customHeight="1" x14ac:dyDescent="0.25">
      <c r="A1037" s="396" t="s">
        <v>274</v>
      </c>
      <c r="B1037" s="392" t="s">
        <v>491</v>
      </c>
      <c r="C1037" s="392" t="s">
        <v>118</v>
      </c>
      <c r="D1037" s="392" t="s">
        <v>1606</v>
      </c>
      <c r="E1037" s="392" t="s">
        <v>275</v>
      </c>
      <c r="F1037" s="389">
        <f>'Пр.4 ведом.21'!G899</f>
        <v>300</v>
      </c>
      <c r="G1037" s="389">
        <f>'Пр.4 ведом.21'!H899</f>
        <v>300</v>
      </c>
      <c r="H1037" s="389">
        <f t="shared" si="176"/>
        <v>100</v>
      </c>
    </row>
    <row r="1038" spans="1:8" ht="33" customHeight="1" x14ac:dyDescent="0.25">
      <c r="A1038" s="394" t="s">
        <v>946</v>
      </c>
      <c r="B1038" s="24" t="s">
        <v>491</v>
      </c>
      <c r="C1038" s="24" t="s">
        <v>118</v>
      </c>
      <c r="D1038" s="24" t="s">
        <v>1265</v>
      </c>
      <c r="E1038" s="24"/>
      <c r="F1038" s="4">
        <f>F1039+F1042</f>
        <v>601.79999999999995</v>
      </c>
      <c r="G1038" s="388">
        <f>G1039+G1042</f>
        <v>598.65899999999999</v>
      </c>
      <c r="H1038" s="492">
        <f t="shared" si="176"/>
        <v>99.478065802592226</v>
      </c>
    </row>
    <row r="1039" spans="1:8" ht="39.200000000000003" customHeight="1" x14ac:dyDescent="0.25">
      <c r="A1039" s="396" t="s">
        <v>791</v>
      </c>
      <c r="B1039" s="20" t="s">
        <v>491</v>
      </c>
      <c r="C1039" s="20" t="s">
        <v>118</v>
      </c>
      <c r="D1039" s="20" t="s">
        <v>1303</v>
      </c>
      <c r="E1039" s="20"/>
      <c r="F1039" s="6">
        <f>'Пр.4 ведом.21'!G903</f>
        <v>74</v>
      </c>
      <c r="G1039" s="389">
        <f>'Пр.4 ведом.21'!H903</f>
        <v>73.72</v>
      </c>
      <c r="H1039" s="389">
        <f t="shared" si="176"/>
        <v>99.621621621621628</v>
      </c>
    </row>
    <row r="1040" spans="1:8" ht="40.700000000000003" customHeight="1" x14ac:dyDescent="0.25">
      <c r="A1040" s="396" t="s">
        <v>272</v>
      </c>
      <c r="B1040" s="20" t="s">
        <v>491</v>
      </c>
      <c r="C1040" s="20" t="s">
        <v>118</v>
      </c>
      <c r="D1040" s="20" t="s">
        <v>1303</v>
      </c>
      <c r="E1040" s="20" t="s">
        <v>273</v>
      </c>
      <c r="F1040" s="6">
        <f t="shared" ref="F1040:G1040" si="177">F1041</f>
        <v>74</v>
      </c>
      <c r="G1040" s="389">
        <f t="shared" si="177"/>
        <v>73.72</v>
      </c>
      <c r="H1040" s="389">
        <f t="shared" si="176"/>
        <v>99.621621621621628</v>
      </c>
    </row>
    <row r="1041" spans="1:8" ht="15.75" customHeight="1" x14ac:dyDescent="0.25">
      <c r="A1041" s="396" t="s">
        <v>274</v>
      </c>
      <c r="B1041" s="20" t="s">
        <v>491</v>
      </c>
      <c r="C1041" s="20" t="s">
        <v>118</v>
      </c>
      <c r="D1041" s="20" t="s">
        <v>1303</v>
      </c>
      <c r="E1041" s="20" t="s">
        <v>275</v>
      </c>
      <c r="F1041" s="6">
        <f>'Пр.4 ведом.21'!G903</f>
        <v>74</v>
      </c>
      <c r="G1041" s="389">
        <f>'Пр.4 ведом.21'!H903</f>
        <v>73.72</v>
      </c>
      <c r="H1041" s="389">
        <f t="shared" si="176"/>
        <v>99.621621621621628</v>
      </c>
    </row>
    <row r="1042" spans="1:8" ht="34.5" customHeight="1" x14ac:dyDescent="0.25">
      <c r="A1042" s="45" t="s">
        <v>764</v>
      </c>
      <c r="B1042" s="20" t="s">
        <v>491</v>
      </c>
      <c r="C1042" s="20" t="s">
        <v>118</v>
      </c>
      <c r="D1042" s="20" t="s">
        <v>1266</v>
      </c>
      <c r="E1042" s="20"/>
      <c r="F1042" s="6">
        <f>'Пр.4 ведом.21'!G906</f>
        <v>527.79999999999995</v>
      </c>
      <c r="G1042" s="389">
        <f>'Пр.4 ведом.21'!H906</f>
        <v>524.93899999999996</v>
      </c>
      <c r="H1042" s="389">
        <f t="shared" si="176"/>
        <v>99.457938613111025</v>
      </c>
    </row>
    <row r="1043" spans="1:8" ht="39.75" customHeight="1" x14ac:dyDescent="0.25">
      <c r="A1043" s="31" t="s">
        <v>272</v>
      </c>
      <c r="B1043" s="20" t="s">
        <v>491</v>
      </c>
      <c r="C1043" s="20" t="s">
        <v>118</v>
      </c>
      <c r="D1043" s="20" t="s">
        <v>1266</v>
      </c>
      <c r="E1043" s="20" t="s">
        <v>273</v>
      </c>
      <c r="F1043" s="6">
        <f>F1044</f>
        <v>527.79999999999995</v>
      </c>
      <c r="G1043" s="389">
        <f>G1044</f>
        <v>524.93899999999996</v>
      </c>
      <c r="H1043" s="389">
        <f t="shared" si="176"/>
        <v>99.457938613111025</v>
      </c>
    </row>
    <row r="1044" spans="1:8" ht="15.75" x14ac:dyDescent="0.25">
      <c r="A1044" s="31" t="s">
        <v>274</v>
      </c>
      <c r="B1044" s="20" t="s">
        <v>491</v>
      </c>
      <c r="C1044" s="20" t="s">
        <v>118</v>
      </c>
      <c r="D1044" s="20" t="s">
        <v>1266</v>
      </c>
      <c r="E1044" s="20" t="s">
        <v>275</v>
      </c>
      <c r="F1044" s="6">
        <f>'Пр.4 ведом.21'!G906</f>
        <v>527.79999999999995</v>
      </c>
      <c r="G1044" s="389">
        <f>'Пр.4 ведом.21'!H906</f>
        <v>524.93899999999996</v>
      </c>
      <c r="H1044" s="389">
        <f t="shared" si="176"/>
        <v>99.457938613111025</v>
      </c>
    </row>
    <row r="1045" spans="1:8" ht="47.25" x14ac:dyDescent="0.25">
      <c r="A1045" s="394" t="s">
        <v>899</v>
      </c>
      <c r="B1045" s="24" t="s">
        <v>491</v>
      </c>
      <c r="C1045" s="24" t="s">
        <v>118</v>
      </c>
      <c r="D1045" s="24" t="s">
        <v>1267</v>
      </c>
      <c r="E1045" s="24"/>
      <c r="F1045" s="4">
        <f>F1046</f>
        <v>763.5</v>
      </c>
      <c r="G1045" s="388">
        <f>G1046</f>
        <v>734.28399999999999</v>
      </c>
      <c r="H1045" s="492">
        <f t="shared" si="176"/>
        <v>96.173411918795026</v>
      </c>
    </row>
    <row r="1046" spans="1:8" ht="103.7" customHeight="1" x14ac:dyDescent="0.25">
      <c r="A1046" s="31" t="s">
        <v>464</v>
      </c>
      <c r="B1046" s="20" t="s">
        <v>491</v>
      </c>
      <c r="C1046" s="20" t="s">
        <v>118</v>
      </c>
      <c r="D1046" s="20" t="s">
        <v>1401</v>
      </c>
      <c r="E1046" s="20"/>
      <c r="F1046" s="6">
        <f>F1047</f>
        <v>763.5</v>
      </c>
      <c r="G1046" s="389">
        <f>G1047</f>
        <v>734.28399999999999</v>
      </c>
      <c r="H1046" s="389">
        <f t="shared" si="176"/>
        <v>96.173411918795026</v>
      </c>
    </row>
    <row r="1047" spans="1:8" ht="31.5" x14ac:dyDescent="0.25">
      <c r="A1047" s="396" t="s">
        <v>272</v>
      </c>
      <c r="B1047" s="20" t="s">
        <v>491</v>
      </c>
      <c r="C1047" s="20" t="s">
        <v>118</v>
      </c>
      <c r="D1047" s="20" t="s">
        <v>1401</v>
      </c>
      <c r="E1047" s="20" t="s">
        <v>273</v>
      </c>
      <c r="F1047" s="6">
        <f t="shared" ref="F1047:G1057" si="178">F1048</f>
        <v>763.5</v>
      </c>
      <c r="G1047" s="389">
        <f t="shared" si="178"/>
        <v>734.28399999999999</v>
      </c>
      <c r="H1047" s="389">
        <f t="shared" si="176"/>
        <v>96.173411918795026</v>
      </c>
    </row>
    <row r="1048" spans="1:8" ht="15.75" x14ac:dyDescent="0.25">
      <c r="A1048" s="396" t="s">
        <v>274</v>
      </c>
      <c r="B1048" s="20" t="s">
        <v>491</v>
      </c>
      <c r="C1048" s="20" t="s">
        <v>118</v>
      </c>
      <c r="D1048" s="20" t="s">
        <v>1401</v>
      </c>
      <c r="E1048" s="20" t="s">
        <v>275</v>
      </c>
      <c r="F1048" s="6">
        <f>'Пр.4 ведом.21'!G910</f>
        <v>763.5</v>
      </c>
      <c r="G1048" s="389">
        <f>'Пр.4 ведом.21'!H910</f>
        <v>734.28399999999999</v>
      </c>
      <c r="H1048" s="389">
        <f t="shared" si="176"/>
        <v>96.173411918795026</v>
      </c>
    </row>
    <row r="1049" spans="1:8" s="387" customFormat="1" ht="47.25" x14ac:dyDescent="0.25">
      <c r="A1049" s="394" t="s">
        <v>1588</v>
      </c>
      <c r="B1049" s="395" t="s">
        <v>491</v>
      </c>
      <c r="C1049" s="395" t="s">
        <v>118</v>
      </c>
      <c r="D1049" s="395" t="s">
        <v>1586</v>
      </c>
      <c r="E1049" s="395"/>
      <c r="F1049" s="388">
        <f>F1050</f>
        <v>5022.2</v>
      </c>
      <c r="G1049" s="388">
        <f>G1050</f>
        <v>5022.2</v>
      </c>
      <c r="H1049" s="492">
        <f t="shared" si="176"/>
        <v>100</v>
      </c>
    </row>
    <row r="1050" spans="1:8" s="387" customFormat="1" ht="55.5" customHeight="1" x14ac:dyDescent="0.25">
      <c r="A1050" s="31" t="s">
        <v>1589</v>
      </c>
      <c r="B1050" s="392" t="s">
        <v>491</v>
      </c>
      <c r="C1050" s="392" t="s">
        <v>118</v>
      </c>
      <c r="D1050" s="392" t="s">
        <v>1587</v>
      </c>
      <c r="E1050" s="392"/>
      <c r="F1050" s="389">
        <f>F1051</f>
        <v>5022.2</v>
      </c>
      <c r="G1050" s="389">
        <f>G1051</f>
        <v>5022.2</v>
      </c>
      <c r="H1050" s="389">
        <f t="shared" si="176"/>
        <v>100</v>
      </c>
    </row>
    <row r="1051" spans="1:8" s="387" customFormat="1" ht="31.5" x14ac:dyDescent="0.25">
      <c r="A1051" s="396" t="s">
        <v>272</v>
      </c>
      <c r="B1051" s="392" t="s">
        <v>491</v>
      </c>
      <c r="C1051" s="392" t="s">
        <v>118</v>
      </c>
      <c r="D1051" s="392" t="s">
        <v>1587</v>
      </c>
      <c r="E1051" s="392" t="s">
        <v>273</v>
      </c>
      <c r="F1051" s="389">
        <f t="shared" si="178"/>
        <v>5022.2</v>
      </c>
      <c r="G1051" s="389">
        <f t="shared" si="178"/>
        <v>5022.2</v>
      </c>
      <c r="H1051" s="389">
        <f t="shared" si="176"/>
        <v>100</v>
      </c>
    </row>
    <row r="1052" spans="1:8" s="387" customFormat="1" ht="15.75" x14ac:dyDescent="0.25">
      <c r="A1052" s="396" t="s">
        <v>274</v>
      </c>
      <c r="B1052" s="392" t="s">
        <v>491</v>
      </c>
      <c r="C1052" s="392" t="s">
        <v>118</v>
      </c>
      <c r="D1052" s="392" t="s">
        <v>1587</v>
      </c>
      <c r="E1052" s="392" t="s">
        <v>275</v>
      </c>
      <c r="F1052" s="389">
        <f>'Пр.4 ведом.21'!G914</f>
        <v>5022.2</v>
      </c>
      <c r="G1052" s="389">
        <f>'Пр.4 ведом.21'!H914</f>
        <v>5022.2</v>
      </c>
      <c r="H1052" s="389">
        <f t="shared" si="176"/>
        <v>100</v>
      </c>
    </row>
    <row r="1053" spans="1:8" s="191" customFormat="1" ht="63" x14ac:dyDescent="0.25">
      <c r="A1053" s="394" t="s">
        <v>1190</v>
      </c>
      <c r="B1053" s="24" t="s">
        <v>491</v>
      </c>
      <c r="C1053" s="24" t="s">
        <v>118</v>
      </c>
      <c r="D1053" s="24" t="s">
        <v>1268</v>
      </c>
      <c r="E1053" s="24"/>
      <c r="F1053" s="4">
        <f t="shared" ref="F1053:G1055" si="179">F1054</f>
        <v>769.23</v>
      </c>
      <c r="G1053" s="388">
        <f t="shared" si="179"/>
        <v>769.23</v>
      </c>
      <c r="H1053" s="492">
        <f t="shared" si="176"/>
        <v>100</v>
      </c>
    </row>
    <row r="1054" spans="1:8" s="191" customFormat="1" ht="63" x14ac:dyDescent="0.25">
      <c r="A1054" s="396" t="s">
        <v>1192</v>
      </c>
      <c r="B1054" s="20" t="s">
        <v>491</v>
      </c>
      <c r="C1054" s="20" t="s">
        <v>118</v>
      </c>
      <c r="D1054" s="20" t="s">
        <v>1323</v>
      </c>
      <c r="E1054" s="20"/>
      <c r="F1054" s="6">
        <f t="shared" si="179"/>
        <v>769.23</v>
      </c>
      <c r="G1054" s="389">
        <f t="shared" si="179"/>
        <v>769.23</v>
      </c>
      <c r="H1054" s="389">
        <f t="shared" si="176"/>
        <v>100</v>
      </c>
    </row>
    <row r="1055" spans="1:8" s="191" customFormat="1" ht="31.5" x14ac:dyDescent="0.25">
      <c r="A1055" s="396" t="s">
        <v>272</v>
      </c>
      <c r="B1055" s="20" t="s">
        <v>491</v>
      </c>
      <c r="C1055" s="20" t="s">
        <v>118</v>
      </c>
      <c r="D1055" s="20" t="s">
        <v>1323</v>
      </c>
      <c r="E1055" s="20" t="s">
        <v>273</v>
      </c>
      <c r="F1055" s="6">
        <f t="shared" si="179"/>
        <v>769.23</v>
      </c>
      <c r="G1055" s="389">
        <f t="shared" si="179"/>
        <v>769.23</v>
      </c>
      <c r="H1055" s="389">
        <f t="shared" si="176"/>
        <v>100</v>
      </c>
    </row>
    <row r="1056" spans="1:8" s="191" customFormat="1" ht="15.75" x14ac:dyDescent="0.25">
      <c r="A1056" s="396" t="s">
        <v>274</v>
      </c>
      <c r="B1056" s="20" t="s">
        <v>491</v>
      </c>
      <c r="C1056" s="20" t="s">
        <v>118</v>
      </c>
      <c r="D1056" s="20" t="s">
        <v>1323</v>
      </c>
      <c r="E1056" s="20" t="s">
        <v>275</v>
      </c>
      <c r="F1056" s="6">
        <f>'Пр.4 ведом.21'!G918</f>
        <v>769.23</v>
      </c>
      <c r="G1056" s="389">
        <f>'Пр.4 ведом.21'!H918</f>
        <v>769.23</v>
      </c>
      <c r="H1056" s="389">
        <f t="shared" si="176"/>
        <v>100</v>
      </c>
    </row>
    <row r="1057" spans="1:8" ht="47.25" x14ac:dyDescent="0.25">
      <c r="A1057" s="400" t="s">
        <v>1351</v>
      </c>
      <c r="B1057" s="24" t="s">
        <v>491</v>
      </c>
      <c r="C1057" s="24" t="s">
        <v>118</v>
      </c>
      <c r="D1057" s="24" t="s">
        <v>705</v>
      </c>
      <c r="E1057" s="206"/>
      <c r="F1057" s="4">
        <f t="shared" si="178"/>
        <v>542.29999999999995</v>
      </c>
      <c r="G1057" s="388">
        <f t="shared" si="178"/>
        <v>500.95400000000001</v>
      </c>
      <c r="H1057" s="492">
        <f t="shared" si="176"/>
        <v>92.375806749031909</v>
      </c>
    </row>
    <row r="1058" spans="1:8" ht="47.25" x14ac:dyDescent="0.25">
      <c r="A1058" s="400" t="s">
        <v>889</v>
      </c>
      <c r="B1058" s="24" t="s">
        <v>491</v>
      </c>
      <c r="C1058" s="24" t="s">
        <v>118</v>
      </c>
      <c r="D1058" s="24" t="s">
        <v>887</v>
      </c>
      <c r="E1058" s="206"/>
      <c r="F1058" s="4">
        <f t="shared" ref="F1058:G1060" si="180">F1059</f>
        <v>542.29999999999995</v>
      </c>
      <c r="G1058" s="388">
        <f t="shared" si="180"/>
        <v>500.95400000000001</v>
      </c>
      <c r="H1058" s="492">
        <f t="shared" si="176"/>
        <v>92.375806749031909</v>
      </c>
    </row>
    <row r="1059" spans="1:8" ht="47.25" x14ac:dyDescent="0.25">
      <c r="A1059" s="98" t="s">
        <v>780</v>
      </c>
      <c r="B1059" s="20" t="s">
        <v>491</v>
      </c>
      <c r="C1059" s="20" t="s">
        <v>118</v>
      </c>
      <c r="D1059" s="20" t="s">
        <v>935</v>
      </c>
      <c r="E1059" s="32"/>
      <c r="F1059" s="6">
        <f t="shared" si="180"/>
        <v>542.29999999999995</v>
      </c>
      <c r="G1059" s="389">
        <f t="shared" si="180"/>
        <v>500.95400000000001</v>
      </c>
      <c r="H1059" s="389">
        <f t="shared" si="176"/>
        <v>92.375806749031909</v>
      </c>
    </row>
    <row r="1060" spans="1:8" ht="31.5" x14ac:dyDescent="0.25">
      <c r="A1060" s="29" t="s">
        <v>272</v>
      </c>
      <c r="B1060" s="20" t="s">
        <v>491</v>
      </c>
      <c r="C1060" s="20" t="s">
        <v>118</v>
      </c>
      <c r="D1060" s="20" t="s">
        <v>935</v>
      </c>
      <c r="E1060" s="32" t="s">
        <v>273</v>
      </c>
      <c r="F1060" s="6">
        <f t="shared" si="180"/>
        <v>542.29999999999995</v>
      </c>
      <c r="G1060" s="389">
        <f t="shared" si="180"/>
        <v>500.95400000000001</v>
      </c>
      <c r="H1060" s="389">
        <f t="shared" si="176"/>
        <v>92.375806749031909</v>
      </c>
    </row>
    <row r="1061" spans="1:8" ht="15.75" x14ac:dyDescent="0.25">
      <c r="A1061" s="180" t="s">
        <v>274</v>
      </c>
      <c r="B1061" s="20" t="s">
        <v>491</v>
      </c>
      <c r="C1061" s="20" t="s">
        <v>118</v>
      </c>
      <c r="D1061" s="20" t="s">
        <v>935</v>
      </c>
      <c r="E1061" s="32" t="s">
        <v>275</v>
      </c>
      <c r="F1061" s="6">
        <f>'Пр.4 ведом.21'!G923</f>
        <v>542.29999999999995</v>
      </c>
      <c r="G1061" s="389">
        <f>'Пр.4 ведом.21'!H923</f>
        <v>500.95400000000001</v>
      </c>
      <c r="H1061" s="389">
        <f t="shared" si="176"/>
        <v>92.375806749031909</v>
      </c>
    </row>
    <row r="1062" spans="1:8" ht="31.5" x14ac:dyDescent="0.25">
      <c r="A1062" s="394" t="s">
        <v>500</v>
      </c>
      <c r="B1062" s="24" t="s">
        <v>491</v>
      </c>
      <c r="C1062" s="24" t="s">
        <v>234</v>
      </c>
      <c r="D1062" s="24"/>
      <c r="E1062" s="24"/>
      <c r="F1062" s="4">
        <f>F1063+F1074+F1089</f>
        <v>13824.443800000001</v>
      </c>
      <c r="G1062" s="388">
        <f>G1063+G1074+G1089</f>
        <v>13432.311000000002</v>
      </c>
      <c r="H1062" s="492">
        <f t="shared" si="176"/>
        <v>97.163482266100289</v>
      </c>
    </row>
    <row r="1063" spans="1:8" ht="31.5" x14ac:dyDescent="0.25">
      <c r="A1063" s="394" t="s">
        <v>916</v>
      </c>
      <c r="B1063" s="24" t="s">
        <v>491</v>
      </c>
      <c r="C1063" s="24" t="s">
        <v>234</v>
      </c>
      <c r="D1063" s="24" t="s">
        <v>857</v>
      </c>
      <c r="E1063" s="24"/>
      <c r="F1063" s="4">
        <f>F1064</f>
        <v>5171.1103000000003</v>
      </c>
      <c r="G1063" s="388">
        <f>G1064</f>
        <v>5157.7650000000003</v>
      </c>
      <c r="H1063" s="492">
        <f t="shared" si="176"/>
        <v>99.741925829739117</v>
      </c>
    </row>
    <row r="1064" spans="1:8" ht="15.75" x14ac:dyDescent="0.25">
      <c r="A1064" s="394" t="s">
        <v>917</v>
      </c>
      <c r="B1064" s="24" t="s">
        <v>491</v>
      </c>
      <c r="C1064" s="24" t="s">
        <v>234</v>
      </c>
      <c r="D1064" s="24" t="s">
        <v>858</v>
      </c>
      <c r="E1064" s="24"/>
      <c r="F1064" s="4">
        <f>F1065+F1068+F1071</f>
        <v>5171.1103000000003</v>
      </c>
      <c r="G1064" s="388">
        <f>G1065+G1068+G1071</f>
        <v>5157.7650000000003</v>
      </c>
      <c r="H1064" s="492">
        <f t="shared" si="176"/>
        <v>99.741925829739117</v>
      </c>
    </row>
    <row r="1065" spans="1:8" ht="31.5" x14ac:dyDescent="0.25">
      <c r="A1065" s="396" t="s">
        <v>896</v>
      </c>
      <c r="B1065" s="20" t="s">
        <v>491</v>
      </c>
      <c r="C1065" s="20" t="s">
        <v>234</v>
      </c>
      <c r="D1065" s="20" t="s">
        <v>859</v>
      </c>
      <c r="E1065" s="20"/>
      <c r="F1065" s="6">
        <f>F1066</f>
        <v>5047.05</v>
      </c>
      <c r="G1065" s="389">
        <f>G1066</f>
        <v>5040.78</v>
      </c>
      <c r="H1065" s="389">
        <f t="shared" si="176"/>
        <v>99.875769013582186</v>
      </c>
    </row>
    <row r="1066" spans="1:8" ht="78.75" x14ac:dyDescent="0.25">
      <c r="A1066" s="396" t="s">
        <v>127</v>
      </c>
      <c r="B1066" s="20" t="s">
        <v>491</v>
      </c>
      <c r="C1066" s="20" t="s">
        <v>234</v>
      </c>
      <c r="D1066" s="20" t="s">
        <v>859</v>
      </c>
      <c r="E1066" s="20" t="s">
        <v>128</v>
      </c>
      <c r="F1066" s="6">
        <f>F1067</f>
        <v>5047.05</v>
      </c>
      <c r="G1066" s="389">
        <f>G1067</f>
        <v>5040.78</v>
      </c>
      <c r="H1066" s="389">
        <f t="shared" si="176"/>
        <v>99.875769013582186</v>
      </c>
    </row>
    <row r="1067" spans="1:8" ht="31.5" x14ac:dyDescent="0.25">
      <c r="A1067" s="396" t="s">
        <v>129</v>
      </c>
      <c r="B1067" s="20" t="s">
        <v>491</v>
      </c>
      <c r="C1067" s="20" t="s">
        <v>234</v>
      </c>
      <c r="D1067" s="20" t="s">
        <v>859</v>
      </c>
      <c r="E1067" s="20" t="s">
        <v>130</v>
      </c>
      <c r="F1067" s="6">
        <f>'Пр.4 ведом.21'!G929</f>
        <v>5047.05</v>
      </c>
      <c r="G1067" s="389">
        <f>'Пр.4 ведом.21'!H929</f>
        <v>5040.78</v>
      </c>
      <c r="H1067" s="389">
        <f t="shared" si="176"/>
        <v>99.875769013582186</v>
      </c>
    </row>
    <row r="1068" spans="1:8" ht="47.25" x14ac:dyDescent="0.25">
      <c r="A1068" s="396" t="s">
        <v>838</v>
      </c>
      <c r="B1068" s="20" t="s">
        <v>491</v>
      </c>
      <c r="C1068" s="20" t="s">
        <v>234</v>
      </c>
      <c r="D1068" s="20" t="s">
        <v>861</v>
      </c>
      <c r="E1068" s="20"/>
      <c r="F1068" s="6">
        <f>F1069</f>
        <v>21.250000000000014</v>
      </c>
      <c r="G1068" s="389">
        <f>G1069</f>
        <v>14.175000000000001</v>
      </c>
      <c r="H1068" s="389">
        <f t="shared" si="176"/>
        <v>66.705882352941131</v>
      </c>
    </row>
    <row r="1069" spans="1:8" ht="78.75" x14ac:dyDescent="0.25">
      <c r="A1069" s="396" t="s">
        <v>127</v>
      </c>
      <c r="B1069" s="20" t="s">
        <v>491</v>
      </c>
      <c r="C1069" s="20" t="s">
        <v>234</v>
      </c>
      <c r="D1069" s="20" t="s">
        <v>861</v>
      </c>
      <c r="E1069" s="20" t="s">
        <v>128</v>
      </c>
      <c r="F1069" s="6">
        <f>F1070</f>
        <v>21.250000000000014</v>
      </c>
      <c r="G1069" s="389">
        <f>G1070</f>
        <v>14.175000000000001</v>
      </c>
      <c r="H1069" s="389">
        <f t="shared" si="176"/>
        <v>66.705882352941131</v>
      </c>
    </row>
    <row r="1070" spans="1:8" ht="31.5" x14ac:dyDescent="0.25">
      <c r="A1070" s="396" t="s">
        <v>129</v>
      </c>
      <c r="B1070" s="20" t="s">
        <v>491</v>
      </c>
      <c r="C1070" s="20" t="s">
        <v>234</v>
      </c>
      <c r="D1070" s="20" t="s">
        <v>861</v>
      </c>
      <c r="E1070" s="20" t="s">
        <v>130</v>
      </c>
      <c r="F1070" s="6">
        <f>'Пр.4 ведом.21'!G932</f>
        <v>21.250000000000014</v>
      </c>
      <c r="G1070" s="389">
        <f>'Пр.4 ведом.21'!H932</f>
        <v>14.175000000000001</v>
      </c>
      <c r="H1070" s="389">
        <f t="shared" si="176"/>
        <v>66.705882352941131</v>
      </c>
    </row>
    <row r="1071" spans="1:8" s="387" customFormat="1" ht="31.5" x14ac:dyDescent="0.25">
      <c r="A1071" s="396" t="s">
        <v>1677</v>
      </c>
      <c r="B1071" s="392" t="s">
        <v>491</v>
      </c>
      <c r="C1071" s="392" t="s">
        <v>234</v>
      </c>
      <c r="D1071" s="392" t="s">
        <v>1678</v>
      </c>
      <c r="E1071" s="392"/>
      <c r="F1071" s="389">
        <f>F1072</f>
        <v>102.8103</v>
      </c>
      <c r="G1071" s="389">
        <f>G1072</f>
        <v>102.81</v>
      </c>
      <c r="H1071" s="389">
        <f t="shared" si="176"/>
        <v>99.999708200442967</v>
      </c>
    </row>
    <row r="1072" spans="1:8" s="387" customFormat="1" ht="78.75" x14ac:dyDescent="0.25">
      <c r="A1072" s="396" t="s">
        <v>127</v>
      </c>
      <c r="B1072" s="392" t="s">
        <v>491</v>
      </c>
      <c r="C1072" s="392" t="s">
        <v>234</v>
      </c>
      <c r="D1072" s="392" t="s">
        <v>1678</v>
      </c>
      <c r="E1072" s="392" t="s">
        <v>128</v>
      </c>
      <c r="F1072" s="389">
        <f>F1073</f>
        <v>102.8103</v>
      </c>
      <c r="G1072" s="389">
        <f>G1073</f>
        <v>102.81</v>
      </c>
      <c r="H1072" s="389">
        <f t="shared" si="176"/>
        <v>99.999708200442967</v>
      </c>
    </row>
    <row r="1073" spans="1:8" s="387" customFormat="1" ht="31.5" x14ac:dyDescent="0.25">
      <c r="A1073" s="396" t="s">
        <v>129</v>
      </c>
      <c r="B1073" s="392" t="s">
        <v>491</v>
      </c>
      <c r="C1073" s="392" t="s">
        <v>234</v>
      </c>
      <c r="D1073" s="392" t="s">
        <v>1678</v>
      </c>
      <c r="E1073" s="392" t="s">
        <v>130</v>
      </c>
      <c r="F1073" s="389">
        <f>'Пр.4 ведом.21'!G935</f>
        <v>102.8103</v>
      </c>
      <c r="G1073" s="389">
        <f>'Пр.4 ведом.21'!H935</f>
        <v>102.81</v>
      </c>
      <c r="H1073" s="389">
        <f t="shared" si="176"/>
        <v>99.999708200442967</v>
      </c>
    </row>
    <row r="1074" spans="1:8" ht="15.75" x14ac:dyDescent="0.25">
      <c r="A1074" s="394" t="s">
        <v>141</v>
      </c>
      <c r="B1074" s="24" t="s">
        <v>491</v>
      </c>
      <c r="C1074" s="24" t="s">
        <v>234</v>
      </c>
      <c r="D1074" s="24" t="s">
        <v>865</v>
      </c>
      <c r="E1074" s="24"/>
      <c r="F1074" s="4">
        <f>F1075</f>
        <v>6171.6334999999999</v>
      </c>
      <c r="G1074" s="388">
        <f>G1075</f>
        <v>6023.7020000000002</v>
      </c>
      <c r="H1074" s="492">
        <f t="shared" si="176"/>
        <v>97.603041399007253</v>
      </c>
    </row>
    <row r="1075" spans="1:8" ht="31.5" x14ac:dyDescent="0.25">
      <c r="A1075" s="394" t="s">
        <v>928</v>
      </c>
      <c r="B1075" s="24" t="s">
        <v>491</v>
      </c>
      <c r="C1075" s="24" t="s">
        <v>234</v>
      </c>
      <c r="D1075" s="24" t="s">
        <v>913</v>
      </c>
      <c r="E1075" s="24"/>
      <c r="F1075" s="4">
        <f>F1076+F1083+F1086</f>
        <v>6171.6334999999999</v>
      </c>
      <c r="G1075" s="388">
        <f>G1076+G1083+G1086</f>
        <v>6023.7020000000002</v>
      </c>
      <c r="H1075" s="492">
        <f t="shared" si="176"/>
        <v>97.603041399007253</v>
      </c>
    </row>
    <row r="1076" spans="1:8" ht="31.5" x14ac:dyDescent="0.25">
      <c r="A1076" s="396" t="s">
        <v>902</v>
      </c>
      <c r="B1076" s="20" t="s">
        <v>491</v>
      </c>
      <c r="C1076" s="20" t="s">
        <v>234</v>
      </c>
      <c r="D1076" s="20" t="s">
        <v>914</v>
      </c>
      <c r="E1076" s="20"/>
      <c r="F1076" s="6">
        <f>F1077+F1079+F1081</f>
        <v>5843.6139999999996</v>
      </c>
      <c r="G1076" s="389">
        <f>G1077+G1079+G1081</f>
        <v>5695.933</v>
      </c>
      <c r="H1076" s="389">
        <f t="shared" si="176"/>
        <v>97.472779687364707</v>
      </c>
    </row>
    <row r="1077" spans="1:8" ht="78.75" x14ac:dyDescent="0.25">
      <c r="A1077" s="396" t="s">
        <v>127</v>
      </c>
      <c r="B1077" s="20" t="s">
        <v>491</v>
      </c>
      <c r="C1077" s="20" t="s">
        <v>234</v>
      </c>
      <c r="D1077" s="20" t="s">
        <v>914</v>
      </c>
      <c r="E1077" s="20" t="s">
        <v>128</v>
      </c>
      <c r="F1077" s="6">
        <f>F1078</f>
        <v>5465.8</v>
      </c>
      <c r="G1077" s="389">
        <f>G1078</f>
        <v>5390.9920000000002</v>
      </c>
      <c r="H1077" s="389">
        <f t="shared" si="176"/>
        <v>98.631343993559952</v>
      </c>
    </row>
    <row r="1078" spans="1:8" ht="21.75" customHeight="1" x14ac:dyDescent="0.25">
      <c r="A1078" s="396" t="s">
        <v>342</v>
      </c>
      <c r="B1078" s="20" t="s">
        <v>491</v>
      </c>
      <c r="C1078" s="20" t="s">
        <v>234</v>
      </c>
      <c r="D1078" s="20" t="s">
        <v>914</v>
      </c>
      <c r="E1078" s="20" t="s">
        <v>209</v>
      </c>
      <c r="F1078" s="6">
        <f>'Пр.4 ведом.21'!G940</f>
        <v>5465.8</v>
      </c>
      <c r="G1078" s="389">
        <f>'Пр.4 ведом.21'!H940</f>
        <v>5390.9920000000002</v>
      </c>
      <c r="H1078" s="389">
        <f t="shared" si="176"/>
        <v>98.631343993559952</v>
      </c>
    </row>
    <row r="1079" spans="1:8" ht="31.5" x14ac:dyDescent="0.25">
      <c r="A1079" s="396" t="s">
        <v>131</v>
      </c>
      <c r="B1079" s="20" t="s">
        <v>491</v>
      </c>
      <c r="C1079" s="20" t="s">
        <v>234</v>
      </c>
      <c r="D1079" s="20" t="s">
        <v>914</v>
      </c>
      <c r="E1079" s="20" t="s">
        <v>132</v>
      </c>
      <c r="F1079" s="6">
        <f t="shared" ref="F1079:G1079" si="181">F1080</f>
        <v>350.66400000000004</v>
      </c>
      <c r="G1079" s="389">
        <f t="shared" si="181"/>
        <v>302.44200000000001</v>
      </c>
      <c r="H1079" s="389">
        <f t="shared" si="176"/>
        <v>86.248374512353692</v>
      </c>
    </row>
    <row r="1080" spans="1:8" ht="31.5" x14ac:dyDescent="0.25">
      <c r="A1080" s="396" t="s">
        <v>133</v>
      </c>
      <c r="B1080" s="20" t="s">
        <v>491</v>
      </c>
      <c r="C1080" s="20" t="s">
        <v>234</v>
      </c>
      <c r="D1080" s="20" t="s">
        <v>914</v>
      </c>
      <c r="E1080" s="20" t="s">
        <v>134</v>
      </c>
      <c r="F1080" s="6">
        <f>'Пр.4 ведом.21'!G942</f>
        <v>350.66400000000004</v>
      </c>
      <c r="G1080" s="389">
        <f>'Пр.4 ведом.21'!H942</f>
        <v>302.44200000000001</v>
      </c>
      <c r="H1080" s="389">
        <f t="shared" si="176"/>
        <v>86.248374512353692</v>
      </c>
    </row>
    <row r="1081" spans="1:8" ht="15.75" x14ac:dyDescent="0.25">
      <c r="A1081" s="396" t="s">
        <v>135</v>
      </c>
      <c r="B1081" s="20" t="s">
        <v>491</v>
      </c>
      <c r="C1081" s="20" t="s">
        <v>234</v>
      </c>
      <c r="D1081" s="20" t="s">
        <v>914</v>
      </c>
      <c r="E1081" s="20" t="s">
        <v>145</v>
      </c>
      <c r="F1081" s="6">
        <f>F1082</f>
        <v>27.15</v>
      </c>
      <c r="G1081" s="389">
        <f>G1082</f>
        <v>2.4990000000000001</v>
      </c>
      <c r="H1081" s="389">
        <f t="shared" si="176"/>
        <v>9.2044198895027627</v>
      </c>
    </row>
    <row r="1082" spans="1:8" ht="15.75" x14ac:dyDescent="0.25">
      <c r="A1082" s="396" t="s">
        <v>568</v>
      </c>
      <c r="B1082" s="20" t="s">
        <v>491</v>
      </c>
      <c r="C1082" s="20" t="s">
        <v>234</v>
      </c>
      <c r="D1082" s="20" t="s">
        <v>914</v>
      </c>
      <c r="E1082" s="20" t="s">
        <v>138</v>
      </c>
      <c r="F1082" s="6">
        <f>'Пр.4 ведом.21'!G944</f>
        <v>27.15</v>
      </c>
      <c r="G1082" s="389">
        <f>'Пр.4 ведом.21'!H944</f>
        <v>2.4990000000000001</v>
      </c>
      <c r="H1082" s="389">
        <f t="shared" si="176"/>
        <v>9.2044198895027627</v>
      </c>
    </row>
    <row r="1083" spans="1:8" ht="47.25" x14ac:dyDescent="0.25">
      <c r="A1083" s="396" t="s">
        <v>838</v>
      </c>
      <c r="B1083" s="20" t="s">
        <v>491</v>
      </c>
      <c r="C1083" s="20" t="s">
        <v>234</v>
      </c>
      <c r="D1083" s="20" t="s">
        <v>915</v>
      </c>
      <c r="E1083" s="20"/>
      <c r="F1083" s="6">
        <f>F1084</f>
        <v>247.48599999999999</v>
      </c>
      <c r="G1083" s="389">
        <f>G1084</f>
        <v>247.23599999999999</v>
      </c>
      <c r="H1083" s="389">
        <f t="shared" si="176"/>
        <v>99.898984184964007</v>
      </c>
    </row>
    <row r="1084" spans="1:8" ht="78.75" x14ac:dyDescent="0.25">
      <c r="A1084" s="396" t="s">
        <v>127</v>
      </c>
      <c r="B1084" s="20" t="s">
        <v>491</v>
      </c>
      <c r="C1084" s="20" t="s">
        <v>234</v>
      </c>
      <c r="D1084" s="20" t="s">
        <v>915</v>
      </c>
      <c r="E1084" s="20" t="s">
        <v>128</v>
      </c>
      <c r="F1084" s="6">
        <f t="shared" ref="F1084:G1084" si="182">F1085</f>
        <v>247.48599999999999</v>
      </c>
      <c r="G1084" s="389">
        <f t="shared" si="182"/>
        <v>247.23599999999999</v>
      </c>
      <c r="H1084" s="389">
        <f t="shared" si="176"/>
        <v>99.898984184964007</v>
      </c>
    </row>
    <row r="1085" spans="1:8" ht="31.5" x14ac:dyDescent="0.25">
      <c r="A1085" s="396" t="s">
        <v>129</v>
      </c>
      <c r="B1085" s="20" t="s">
        <v>491</v>
      </c>
      <c r="C1085" s="20" t="s">
        <v>234</v>
      </c>
      <c r="D1085" s="20" t="s">
        <v>915</v>
      </c>
      <c r="E1085" s="20" t="s">
        <v>130</v>
      </c>
      <c r="F1085" s="6">
        <f>'Пр.4 ведом.21'!G947</f>
        <v>247.48599999999999</v>
      </c>
      <c r="G1085" s="389">
        <f>'Пр.4 ведом.21'!H947</f>
        <v>247.23599999999999</v>
      </c>
      <c r="H1085" s="389">
        <f t="shared" si="176"/>
        <v>99.898984184964007</v>
      </c>
    </row>
    <row r="1086" spans="1:8" s="387" customFormat="1" ht="31.5" x14ac:dyDescent="0.25">
      <c r="A1086" s="396" t="s">
        <v>1677</v>
      </c>
      <c r="B1086" s="392" t="s">
        <v>491</v>
      </c>
      <c r="C1086" s="392" t="s">
        <v>234</v>
      </c>
      <c r="D1086" s="392" t="s">
        <v>1681</v>
      </c>
      <c r="E1086" s="392"/>
      <c r="F1086" s="389">
        <f>F1087</f>
        <v>80.533500000000004</v>
      </c>
      <c r="G1086" s="389">
        <f>G1087</f>
        <v>80.533000000000001</v>
      </c>
      <c r="H1086" s="389">
        <f t="shared" si="176"/>
        <v>99.999379140357732</v>
      </c>
    </row>
    <row r="1087" spans="1:8" s="387" customFormat="1" ht="78.75" x14ac:dyDescent="0.25">
      <c r="A1087" s="396" t="s">
        <v>127</v>
      </c>
      <c r="B1087" s="392" t="s">
        <v>491</v>
      </c>
      <c r="C1087" s="392" t="s">
        <v>234</v>
      </c>
      <c r="D1087" s="392" t="s">
        <v>1681</v>
      </c>
      <c r="E1087" s="392" t="s">
        <v>128</v>
      </c>
      <c r="F1087" s="389">
        <f>F1088</f>
        <v>80.533500000000004</v>
      </c>
      <c r="G1087" s="389">
        <f>G1088</f>
        <v>80.533000000000001</v>
      </c>
      <c r="H1087" s="389">
        <f t="shared" si="176"/>
        <v>99.999379140357732</v>
      </c>
    </row>
    <row r="1088" spans="1:8" s="387" customFormat="1" ht="31.5" x14ac:dyDescent="0.25">
      <c r="A1088" s="396" t="s">
        <v>342</v>
      </c>
      <c r="B1088" s="392" t="s">
        <v>491</v>
      </c>
      <c r="C1088" s="392" t="s">
        <v>234</v>
      </c>
      <c r="D1088" s="392" t="s">
        <v>1681</v>
      </c>
      <c r="E1088" s="392" t="s">
        <v>209</v>
      </c>
      <c r="F1088" s="389">
        <f>'Пр.4 ведом.21'!G950</f>
        <v>80.533500000000004</v>
      </c>
      <c r="G1088" s="389">
        <f>'Пр.4 ведом.21'!H950</f>
        <v>80.533000000000001</v>
      </c>
      <c r="H1088" s="389">
        <f t="shared" si="176"/>
        <v>99.999379140357732</v>
      </c>
    </row>
    <row r="1089" spans="1:8" ht="47.25" x14ac:dyDescent="0.25">
      <c r="A1089" s="400" t="s">
        <v>1368</v>
      </c>
      <c r="B1089" s="24" t="s">
        <v>491</v>
      </c>
      <c r="C1089" s="24" t="s">
        <v>234</v>
      </c>
      <c r="D1089" s="7" t="s">
        <v>482</v>
      </c>
      <c r="E1089" s="24"/>
      <c r="F1089" s="4">
        <f>F1090</f>
        <v>2481.6999999999998</v>
      </c>
      <c r="G1089" s="388">
        <f>G1090</f>
        <v>2250.8440000000001</v>
      </c>
      <c r="H1089" s="492">
        <f t="shared" si="176"/>
        <v>90.697666921868077</v>
      </c>
    </row>
    <row r="1090" spans="1:8" ht="33.75" customHeight="1" x14ac:dyDescent="0.25">
      <c r="A1090" s="58" t="s">
        <v>950</v>
      </c>
      <c r="B1090" s="24" t="s">
        <v>491</v>
      </c>
      <c r="C1090" s="24" t="s">
        <v>234</v>
      </c>
      <c r="D1090" s="7" t="s">
        <v>1269</v>
      </c>
      <c r="E1090" s="24"/>
      <c r="F1090" s="4">
        <f>F1091</f>
        <v>2481.6999999999998</v>
      </c>
      <c r="G1090" s="388">
        <f>G1091</f>
        <v>2250.8440000000001</v>
      </c>
      <c r="H1090" s="492">
        <f t="shared" si="176"/>
        <v>90.697666921868077</v>
      </c>
    </row>
    <row r="1091" spans="1:8" ht="15.75" x14ac:dyDescent="0.25">
      <c r="A1091" s="29" t="s">
        <v>951</v>
      </c>
      <c r="B1091" s="20" t="s">
        <v>491</v>
      </c>
      <c r="C1091" s="20" t="s">
        <v>234</v>
      </c>
      <c r="D1091" s="40" t="s">
        <v>1270</v>
      </c>
      <c r="E1091" s="20"/>
      <c r="F1091" s="331">
        <f>F1092+F1094</f>
        <v>2481.6999999999998</v>
      </c>
      <c r="G1091" s="331">
        <f>G1092+G1094</f>
        <v>2250.8440000000001</v>
      </c>
      <c r="H1091" s="389">
        <f t="shared" si="176"/>
        <v>90.697666921868077</v>
      </c>
    </row>
    <row r="1092" spans="1:8" ht="78.75" x14ac:dyDescent="0.25">
      <c r="A1092" s="396" t="s">
        <v>127</v>
      </c>
      <c r="B1092" s="20" t="s">
        <v>491</v>
      </c>
      <c r="C1092" s="20" t="s">
        <v>234</v>
      </c>
      <c r="D1092" s="40" t="s">
        <v>1270</v>
      </c>
      <c r="E1092" s="20" t="s">
        <v>128</v>
      </c>
      <c r="F1092" s="331">
        <f>F1093</f>
        <v>1577.9</v>
      </c>
      <c r="G1092" s="331">
        <f>G1093</f>
        <v>1387.4449999999999</v>
      </c>
      <c r="H1092" s="389">
        <f t="shared" si="176"/>
        <v>87.929843462830334</v>
      </c>
    </row>
    <row r="1093" spans="1:8" ht="21.75" customHeight="1" x14ac:dyDescent="0.25">
      <c r="A1093" s="396" t="s">
        <v>342</v>
      </c>
      <c r="B1093" s="20" t="s">
        <v>491</v>
      </c>
      <c r="C1093" s="20" t="s">
        <v>234</v>
      </c>
      <c r="D1093" s="40" t="s">
        <v>1270</v>
      </c>
      <c r="E1093" s="20" t="s">
        <v>209</v>
      </c>
      <c r="F1093" s="331">
        <f>'Пр.4 ведом.21'!G955</f>
        <v>1577.9</v>
      </c>
      <c r="G1093" s="331">
        <f>'Пр.4 ведом.21'!H955</f>
        <v>1387.4449999999999</v>
      </c>
      <c r="H1093" s="389">
        <f t="shared" si="176"/>
        <v>87.929843462830334</v>
      </c>
    </row>
    <row r="1094" spans="1:8" ht="36" customHeight="1" x14ac:dyDescent="0.25">
      <c r="A1094" s="29" t="s">
        <v>131</v>
      </c>
      <c r="B1094" s="20" t="s">
        <v>491</v>
      </c>
      <c r="C1094" s="20" t="s">
        <v>234</v>
      </c>
      <c r="D1094" s="40" t="s">
        <v>1270</v>
      </c>
      <c r="E1094" s="20" t="s">
        <v>132</v>
      </c>
      <c r="F1094" s="331">
        <f>F1095</f>
        <v>903.8</v>
      </c>
      <c r="G1094" s="331">
        <f>G1095</f>
        <v>863.399</v>
      </c>
      <c r="H1094" s="389">
        <f t="shared" si="176"/>
        <v>95.529873865899546</v>
      </c>
    </row>
    <row r="1095" spans="1:8" ht="31.5" x14ac:dyDescent="0.25">
      <c r="A1095" s="29" t="s">
        <v>133</v>
      </c>
      <c r="B1095" s="20" t="s">
        <v>491</v>
      </c>
      <c r="C1095" s="20" t="s">
        <v>234</v>
      </c>
      <c r="D1095" s="40" t="s">
        <v>1270</v>
      </c>
      <c r="E1095" s="20" t="s">
        <v>134</v>
      </c>
      <c r="F1095" s="6">
        <f>'Пр.4 ведом.21'!G957</f>
        <v>903.8</v>
      </c>
      <c r="G1095" s="389">
        <f>'Пр.4 ведом.21'!H957</f>
        <v>863.399</v>
      </c>
      <c r="H1095" s="389">
        <f t="shared" si="176"/>
        <v>95.529873865899546</v>
      </c>
    </row>
    <row r="1096" spans="1:8" ht="15.75" x14ac:dyDescent="0.25">
      <c r="A1096" s="400" t="s">
        <v>582</v>
      </c>
      <c r="B1096" s="7" t="s">
        <v>238</v>
      </c>
      <c r="C1096" s="40"/>
      <c r="D1096" s="40"/>
      <c r="E1096" s="40"/>
      <c r="F1096" s="4">
        <f t="shared" ref="F1096:G1096" si="183">F1097</f>
        <v>5633.9500000000007</v>
      </c>
      <c r="G1096" s="388">
        <f t="shared" si="183"/>
        <v>5624.9350000000004</v>
      </c>
      <c r="H1096" s="492">
        <f t="shared" si="176"/>
        <v>99.839987930315317</v>
      </c>
    </row>
    <row r="1097" spans="1:8" ht="15.75" x14ac:dyDescent="0.25">
      <c r="A1097" s="400" t="s">
        <v>583</v>
      </c>
      <c r="B1097" s="7" t="s">
        <v>238</v>
      </c>
      <c r="C1097" s="7" t="s">
        <v>213</v>
      </c>
      <c r="D1097" s="7"/>
      <c r="E1097" s="7"/>
      <c r="F1097" s="4">
        <f>F1098+F1113</f>
        <v>5633.9500000000007</v>
      </c>
      <c r="G1097" s="388">
        <f>G1098+G1113</f>
        <v>5624.9350000000004</v>
      </c>
      <c r="H1097" s="492">
        <f t="shared" ref="H1097:H1118" si="184">G1097/F1097*100</f>
        <v>99.839987930315317</v>
      </c>
    </row>
    <row r="1098" spans="1:8" ht="15.75" x14ac:dyDescent="0.25">
      <c r="A1098" s="394" t="s">
        <v>141</v>
      </c>
      <c r="B1098" s="24" t="s">
        <v>238</v>
      </c>
      <c r="C1098" s="24" t="s">
        <v>213</v>
      </c>
      <c r="D1098" s="24" t="s">
        <v>267</v>
      </c>
      <c r="E1098" s="24"/>
      <c r="F1098" s="4">
        <f>F1099</f>
        <v>5555.9500000000007</v>
      </c>
      <c r="G1098" s="388">
        <f>G1099</f>
        <v>5546.9350000000004</v>
      </c>
      <c r="H1098" s="492">
        <f t="shared" si="184"/>
        <v>99.837741520352054</v>
      </c>
    </row>
    <row r="1099" spans="1:8" ht="15.75" x14ac:dyDescent="0.25">
      <c r="A1099" s="394" t="s">
        <v>953</v>
      </c>
      <c r="B1099" s="24" t="s">
        <v>238</v>
      </c>
      <c r="C1099" s="24" t="s">
        <v>213</v>
      </c>
      <c r="D1099" s="24" t="s">
        <v>1201</v>
      </c>
      <c r="E1099" s="24"/>
      <c r="F1099" s="4">
        <f>F1100+F1107+F1110</f>
        <v>5555.9500000000007</v>
      </c>
      <c r="G1099" s="388">
        <f>G1100+G1107+G1110</f>
        <v>5546.9350000000004</v>
      </c>
      <c r="H1099" s="492">
        <f t="shared" si="184"/>
        <v>99.837741520352054</v>
      </c>
    </row>
    <row r="1100" spans="1:8" ht="15.75" x14ac:dyDescent="0.25">
      <c r="A1100" s="396" t="s">
        <v>801</v>
      </c>
      <c r="B1100" s="20" t="s">
        <v>238</v>
      </c>
      <c r="C1100" s="20" t="s">
        <v>213</v>
      </c>
      <c r="D1100" s="20" t="s">
        <v>1202</v>
      </c>
      <c r="E1100" s="20"/>
      <c r="F1100" s="6">
        <f>F1101+F1103+F1105</f>
        <v>5176.8</v>
      </c>
      <c r="G1100" s="389">
        <f>G1101+G1103+G1105</f>
        <v>5167.817</v>
      </c>
      <c r="H1100" s="389">
        <f t="shared" si="184"/>
        <v>99.826475815175399</v>
      </c>
    </row>
    <row r="1101" spans="1:8" ht="78.75" x14ac:dyDescent="0.25">
      <c r="A1101" s="396" t="s">
        <v>127</v>
      </c>
      <c r="B1101" s="20" t="s">
        <v>238</v>
      </c>
      <c r="C1101" s="20" t="s">
        <v>213</v>
      </c>
      <c r="D1101" s="20" t="s">
        <v>1202</v>
      </c>
      <c r="E1101" s="20" t="s">
        <v>128</v>
      </c>
      <c r="F1101" s="6">
        <f>F1102</f>
        <v>4026.6</v>
      </c>
      <c r="G1101" s="389">
        <f>G1102</f>
        <v>4026.4110000000001</v>
      </c>
      <c r="H1101" s="389">
        <f t="shared" si="184"/>
        <v>99.995306213679029</v>
      </c>
    </row>
    <row r="1102" spans="1:8" ht="15.75" x14ac:dyDescent="0.25">
      <c r="A1102" s="396" t="s">
        <v>208</v>
      </c>
      <c r="B1102" s="20" t="s">
        <v>238</v>
      </c>
      <c r="C1102" s="20" t="s">
        <v>213</v>
      </c>
      <c r="D1102" s="20" t="s">
        <v>1202</v>
      </c>
      <c r="E1102" s="20" t="s">
        <v>209</v>
      </c>
      <c r="F1102" s="6">
        <f>'Пр.4 ведом.21'!G534</f>
        <v>4026.6</v>
      </c>
      <c r="G1102" s="389">
        <f>'Пр.4 ведом.21'!H534</f>
        <v>4026.4110000000001</v>
      </c>
      <c r="H1102" s="389">
        <f t="shared" si="184"/>
        <v>99.995306213679029</v>
      </c>
    </row>
    <row r="1103" spans="1:8" ht="31.5" x14ac:dyDescent="0.25">
      <c r="A1103" s="396" t="s">
        <v>131</v>
      </c>
      <c r="B1103" s="20" t="s">
        <v>238</v>
      </c>
      <c r="C1103" s="20" t="s">
        <v>213</v>
      </c>
      <c r="D1103" s="20" t="s">
        <v>1202</v>
      </c>
      <c r="E1103" s="20" t="s">
        <v>132</v>
      </c>
      <c r="F1103" s="6">
        <f t="shared" ref="F1103:G1103" si="185">F1104</f>
        <v>1132.5</v>
      </c>
      <c r="G1103" s="389">
        <f t="shared" si="185"/>
        <v>1123.93</v>
      </c>
      <c r="H1103" s="389">
        <f t="shared" si="184"/>
        <v>99.243267108167771</v>
      </c>
    </row>
    <row r="1104" spans="1:8" ht="31.5" x14ac:dyDescent="0.25">
      <c r="A1104" s="396" t="s">
        <v>133</v>
      </c>
      <c r="B1104" s="20" t="s">
        <v>238</v>
      </c>
      <c r="C1104" s="20" t="s">
        <v>213</v>
      </c>
      <c r="D1104" s="20" t="s">
        <v>1202</v>
      </c>
      <c r="E1104" s="20" t="s">
        <v>134</v>
      </c>
      <c r="F1104" s="6">
        <f>'Пр.4 ведом.21'!G536</f>
        <v>1132.5</v>
      </c>
      <c r="G1104" s="389">
        <f>'Пр.4 ведом.21'!H536</f>
        <v>1123.93</v>
      </c>
      <c r="H1104" s="389">
        <f t="shared" si="184"/>
        <v>99.243267108167771</v>
      </c>
    </row>
    <row r="1105" spans="1:8" ht="15.75" x14ac:dyDescent="0.25">
      <c r="A1105" s="396" t="s">
        <v>135</v>
      </c>
      <c r="B1105" s="20" t="s">
        <v>238</v>
      </c>
      <c r="C1105" s="20" t="s">
        <v>213</v>
      </c>
      <c r="D1105" s="20" t="s">
        <v>1202</v>
      </c>
      <c r="E1105" s="20" t="s">
        <v>145</v>
      </c>
      <c r="F1105" s="331">
        <f t="shared" ref="F1105:G1105" si="186">F1106</f>
        <v>17.700000000000003</v>
      </c>
      <c r="G1105" s="331">
        <f t="shared" si="186"/>
        <v>17.475999999999999</v>
      </c>
      <c r="H1105" s="389">
        <f t="shared" si="184"/>
        <v>98.734463276836138</v>
      </c>
    </row>
    <row r="1106" spans="1:8" ht="15.75" x14ac:dyDescent="0.25">
      <c r="A1106" s="396" t="s">
        <v>568</v>
      </c>
      <c r="B1106" s="20" t="s">
        <v>238</v>
      </c>
      <c r="C1106" s="20" t="s">
        <v>213</v>
      </c>
      <c r="D1106" s="20" t="s">
        <v>1202</v>
      </c>
      <c r="E1106" s="20" t="s">
        <v>138</v>
      </c>
      <c r="F1106" s="331">
        <f>'Пр.4 ведом.21'!G538</f>
        <v>17.700000000000003</v>
      </c>
      <c r="G1106" s="331">
        <f>'Пр.4 ведом.21'!H538</f>
        <v>17.475999999999999</v>
      </c>
      <c r="H1106" s="389">
        <f t="shared" si="184"/>
        <v>98.734463276836138</v>
      </c>
    </row>
    <row r="1107" spans="1:8" ht="47.25" x14ac:dyDescent="0.25">
      <c r="A1107" s="396" t="s">
        <v>838</v>
      </c>
      <c r="B1107" s="20" t="s">
        <v>238</v>
      </c>
      <c r="C1107" s="20" t="s">
        <v>213</v>
      </c>
      <c r="D1107" s="20" t="s">
        <v>1310</v>
      </c>
      <c r="E1107" s="20"/>
      <c r="F1107" s="6">
        <f>F1108</f>
        <v>261.60000000000002</v>
      </c>
      <c r="G1107" s="389">
        <f>G1108</f>
        <v>261.56799999999998</v>
      </c>
      <c r="H1107" s="389">
        <f t="shared" si="184"/>
        <v>99.987767584097838</v>
      </c>
    </row>
    <row r="1108" spans="1:8" ht="78.75" x14ac:dyDescent="0.25">
      <c r="A1108" s="396" t="s">
        <v>127</v>
      </c>
      <c r="B1108" s="20" t="s">
        <v>238</v>
      </c>
      <c r="C1108" s="20" t="s">
        <v>213</v>
      </c>
      <c r="D1108" s="20" t="s">
        <v>1310</v>
      </c>
      <c r="E1108" s="20" t="s">
        <v>128</v>
      </c>
      <c r="F1108" s="6">
        <f>F1109</f>
        <v>261.60000000000002</v>
      </c>
      <c r="G1108" s="389">
        <f>G1109</f>
        <v>261.56799999999998</v>
      </c>
      <c r="H1108" s="389">
        <f t="shared" si="184"/>
        <v>99.987767584097838</v>
      </c>
    </row>
    <row r="1109" spans="1:8" ht="31.5" x14ac:dyDescent="0.25">
      <c r="A1109" s="396" t="s">
        <v>129</v>
      </c>
      <c r="B1109" s="20" t="s">
        <v>238</v>
      </c>
      <c r="C1109" s="20" t="s">
        <v>213</v>
      </c>
      <c r="D1109" s="20" t="s">
        <v>1310</v>
      </c>
      <c r="E1109" s="20" t="s">
        <v>209</v>
      </c>
      <c r="F1109" s="6">
        <f>'Пр.4 ведом.21'!G545</f>
        <v>261.60000000000002</v>
      </c>
      <c r="G1109" s="389">
        <f>'Пр.4 ведом.21'!H545</f>
        <v>261.56799999999998</v>
      </c>
      <c r="H1109" s="389">
        <f t="shared" si="184"/>
        <v>99.987767584097838</v>
      </c>
    </row>
    <row r="1110" spans="1:8" s="387" customFormat="1" ht="47.25" x14ac:dyDescent="0.25">
      <c r="A1110" s="396" t="s">
        <v>1660</v>
      </c>
      <c r="B1110" s="392" t="s">
        <v>238</v>
      </c>
      <c r="C1110" s="392" t="s">
        <v>213</v>
      </c>
      <c r="D1110" s="392" t="s">
        <v>1661</v>
      </c>
      <c r="E1110" s="392"/>
      <c r="F1110" s="389">
        <f>F1111</f>
        <v>117.55</v>
      </c>
      <c r="G1110" s="389">
        <f>G1111</f>
        <v>117.55</v>
      </c>
      <c r="H1110" s="389">
        <f t="shared" si="184"/>
        <v>100</v>
      </c>
    </row>
    <row r="1111" spans="1:8" s="387" customFormat="1" ht="78.75" x14ac:dyDescent="0.25">
      <c r="A1111" s="396" t="s">
        <v>127</v>
      </c>
      <c r="B1111" s="392" t="s">
        <v>238</v>
      </c>
      <c r="C1111" s="392" t="s">
        <v>213</v>
      </c>
      <c r="D1111" s="392" t="s">
        <v>1661</v>
      </c>
      <c r="E1111" s="392" t="s">
        <v>128</v>
      </c>
      <c r="F1111" s="389">
        <f>F1112</f>
        <v>117.55</v>
      </c>
      <c r="G1111" s="389">
        <f>G1112</f>
        <v>117.55</v>
      </c>
      <c r="H1111" s="389">
        <f t="shared" si="184"/>
        <v>100</v>
      </c>
    </row>
    <row r="1112" spans="1:8" s="387" customFormat="1" ht="31.5" x14ac:dyDescent="0.25">
      <c r="A1112" s="46" t="s">
        <v>342</v>
      </c>
      <c r="B1112" s="392" t="s">
        <v>238</v>
      </c>
      <c r="C1112" s="392" t="s">
        <v>213</v>
      </c>
      <c r="D1112" s="392" t="s">
        <v>1661</v>
      </c>
      <c r="E1112" s="392" t="s">
        <v>209</v>
      </c>
      <c r="F1112" s="389">
        <f>'Пр.4 ведом.21'!G541</f>
        <v>117.55</v>
      </c>
      <c r="G1112" s="389">
        <f>'Пр.4 ведом.21'!H541</f>
        <v>117.55</v>
      </c>
      <c r="H1112" s="389">
        <f t="shared" si="184"/>
        <v>100</v>
      </c>
    </row>
    <row r="1113" spans="1:8" ht="47.25" x14ac:dyDescent="0.25">
      <c r="A1113" s="400" t="s">
        <v>1351</v>
      </c>
      <c r="B1113" s="24" t="s">
        <v>238</v>
      </c>
      <c r="C1113" s="24" t="s">
        <v>213</v>
      </c>
      <c r="D1113" s="24" t="s">
        <v>705</v>
      </c>
      <c r="E1113" s="206"/>
      <c r="F1113" s="4">
        <f t="shared" ref="F1113:G1116" si="187">F1114</f>
        <v>78</v>
      </c>
      <c r="G1113" s="388">
        <f t="shared" si="187"/>
        <v>78</v>
      </c>
      <c r="H1113" s="492">
        <f t="shared" si="184"/>
        <v>100</v>
      </c>
    </row>
    <row r="1114" spans="1:8" s="191" customFormat="1" ht="47.25" x14ac:dyDescent="0.25">
      <c r="A1114" s="400" t="s">
        <v>889</v>
      </c>
      <c r="B1114" s="24" t="s">
        <v>238</v>
      </c>
      <c r="C1114" s="24" t="s">
        <v>213</v>
      </c>
      <c r="D1114" s="24" t="s">
        <v>887</v>
      </c>
      <c r="E1114" s="206"/>
      <c r="F1114" s="4">
        <f t="shared" si="187"/>
        <v>78</v>
      </c>
      <c r="G1114" s="388">
        <f t="shared" si="187"/>
        <v>78</v>
      </c>
      <c r="H1114" s="492">
        <f t="shared" si="184"/>
        <v>100</v>
      </c>
    </row>
    <row r="1115" spans="1:8" s="191" customFormat="1" ht="47.25" x14ac:dyDescent="0.25">
      <c r="A1115" s="98" t="s">
        <v>1003</v>
      </c>
      <c r="B1115" s="20" t="s">
        <v>238</v>
      </c>
      <c r="C1115" s="20" t="s">
        <v>213</v>
      </c>
      <c r="D1115" s="20" t="s">
        <v>888</v>
      </c>
      <c r="E1115" s="32"/>
      <c r="F1115" s="6">
        <f t="shared" si="187"/>
        <v>78</v>
      </c>
      <c r="G1115" s="389">
        <f t="shared" si="187"/>
        <v>78</v>
      </c>
      <c r="H1115" s="389">
        <f t="shared" si="184"/>
        <v>100</v>
      </c>
    </row>
    <row r="1116" spans="1:8" s="191" customFormat="1" ht="31.5" x14ac:dyDescent="0.25">
      <c r="A1116" s="396" t="s">
        <v>131</v>
      </c>
      <c r="B1116" s="20" t="s">
        <v>238</v>
      </c>
      <c r="C1116" s="20" t="s">
        <v>213</v>
      </c>
      <c r="D1116" s="20" t="s">
        <v>888</v>
      </c>
      <c r="E1116" s="32" t="s">
        <v>132</v>
      </c>
      <c r="F1116" s="6">
        <f t="shared" si="187"/>
        <v>78</v>
      </c>
      <c r="G1116" s="389">
        <f t="shared" si="187"/>
        <v>78</v>
      </c>
      <c r="H1116" s="389">
        <f t="shared" si="184"/>
        <v>100</v>
      </c>
    </row>
    <row r="1117" spans="1:8" s="191" customFormat="1" ht="31.5" x14ac:dyDescent="0.25">
      <c r="A1117" s="396" t="s">
        <v>133</v>
      </c>
      <c r="B1117" s="20" t="s">
        <v>238</v>
      </c>
      <c r="C1117" s="20" t="s">
        <v>213</v>
      </c>
      <c r="D1117" s="20" t="s">
        <v>888</v>
      </c>
      <c r="E1117" s="32" t="s">
        <v>134</v>
      </c>
      <c r="F1117" s="6">
        <f>'Пр.4 ведом.21'!G550</f>
        <v>78</v>
      </c>
      <c r="G1117" s="389">
        <f>'Пр.4 ведом.21'!H550</f>
        <v>78</v>
      </c>
      <c r="H1117" s="389">
        <f t="shared" si="184"/>
        <v>100</v>
      </c>
    </row>
    <row r="1118" spans="1:8" ht="15.75" x14ac:dyDescent="0.25">
      <c r="A1118" s="61" t="s">
        <v>587</v>
      </c>
      <c r="B1118" s="7"/>
      <c r="C1118" s="7"/>
      <c r="D1118" s="7"/>
      <c r="E1118" s="7"/>
      <c r="F1118" s="335">
        <f>F8+F259+F289+F351+F547+F855+F1015+F1096+F961</f>
        <v>971180.05836999987</v>
      </c>
      <c r="G1118" s="335">
        <f>G8+G259+G289+G351+G547+G855+G1015+G1096+G961</f>
        <v>945847.46700000018</v>
      </c>
      <c r="H1118" s="492">
        <f t="shared" si="184"/>
        <v>97.391565945812644</v>
      </c>
    </row>
    <row r="1119" spans="1:8" x14ac:dyDescent="0.25">
      <c r="F1119" s="22">
        <f>'Пр.4 ведом.21'!G1245</f>
        <v>971180.05836999998</v>
      </c>
      <c r="G1119" s="22">
        <f>'Пр.4 ведом.21'!H1245</f>
        <v>945847.46700000006</v>
      </c>
      <c r="H1119" s="22">
        <f>'Пр.4 ведом.21'!M1245</f>
        <v>0</v>
      </c>
    </row>
    <row r="1120" spans="1:8" x14ac:dyDescent="0.25">
      <c r="F1120" s="22">
        <f>F1119-F1118</f>
        <v>0</v>
      </c>
      <c r="G1120" s="22">
        <f>G1119-G1118</f>
        <v>0</v>
      </c>
      <c r="H1120" s="22">
        <f t="shared" ref="H1120" si="188">H1119-H1118</f>
        <v>-97.391565945812644</v>
      </c>
    </row>
  </sheetData>
  <mergeCells count="4">
    <mergeCell ref="G3:H3"/>
    <mergeCell ref="G1:H1"/>
    <mergeCell ref="G2:H2"/>
    <mergeCell ref="A5:H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65.140625" style="387" customWidth="1"/>
    <col min="2" max="2" width="7" style="387" customWidth="1"/>
    <col min="3" max="3" width="6" style="387" customWidth="1"/>
    <col min="4" max="4" width="13.7109375" style="22" customWidth="1"/>
    <col min="5" max="5" width="15.5703125" style="22" customWidth="1"/>
    <col min="6" max="16384" width="9.140625" style="387"/>
  </cols>
  <sheetData>
    <row r="1" spans="1:7" ht="15.75" x14ac:dyDescent="0.25">
      <c r="A1" s="11"/>
      <c r="C1" s="11"/>
      <c r="D1" s="539" t="s">
        <v>1498</v>
      </c>
      <c r="E1" s="539"/>
    </row>
    <row r="2" spans="1:7" ht="15.75" x14ac:dyDescent="0.25">
      <c r="A2" s="11"/>
      <c r="C2" s="11"/>
      <c r="D2" s="539" t="s">
        <v>1497</v>
      </c>
      <c r="E2" s="539"/>
    </row>
    <row r="3" spans="1:7" ht="18.75" x14ac:dyDescent="0.3">
      <c r="A3" s="11"/>
      <c r="B3" s="150"/>
      <c r="C3" s="11"/>
      <c r="D3" s="539" t="s">
        <v>1496</v>
      </c>
      <c r="E3" s="539"/>
    </row>
    <row r="4" spans="1:7" ht="15.75" x14ac:dyDescent="0.25">
      <c r="A4" s="552" t="s">
        <v>1133</v>
      </c>
      <c r="B4" s="552"/>
      <c r="C4" s="552"/>
      <c r="D4" s="552"/>
      <c r="E4" s="552"/>
    </row>
    <row r="5" spans="1:7" ht="15.75" x14ac:dyDescent="0.25">
      <c r="A5" s="552" t="s">
        <v>1134</v>
      </c>
      <c r="B5" s="552"/>
      <c r="C5" s="552"/>
      <c r="D5" s="552"/>
      <c r="E5" s="552"/>
    </row>
    <row r="6" spans="1:7" ht="15.75" x14ac:dyDescent="0.25">
      <c r="A6" s="552" t="s">
        <v>1312</v>
      </c>
      <c r="B6" s="552"/>
      <c r="C6" s="552"/>
      <c r="D6" s="552"/>
      <c r="E6" s="552"/>
    </row>
    <row r="7" spans="1:7" ht="15.75" x14ac:dyDescent="0.25">
      <c r="A7" s="554"/>
      <c r="B7" s="555"/>
      <c r="C7" s="555"/>
    </row>
    <row r="8" spans="1:7" x14ac:dyDescent="0.25">
      <c r="B8" s="90"/>
      <c r="C8" s="90"/>
      <c r="E8" s="326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27" t="s">
        <v>1027</v>
      </c>
      <c r="E9" s="327" t="s">
        <v>1288</v>
      </c>
    </row>
    <row r="10" spans="1:7" ht="15.75" x14ac:dyDescent="0.25">
      <c r="A10" s="43" t="s">
        <v>1412</v>
      </c>
      <c r="B10" s="47"/>
      <c r="C10" s="47"/>
      <c r="D10" s="329">
        <f>('Пр.1.1. дох.22-23 (2)'!C9+'Пр.1.1. дох.22-23 (2)'!C76)*2.5%</f>
        <v>12478.692500000001</v>
      </c>
      <c r="E10" s="329">
        <v>25451.88</v>
      </c>
    </row>
    <row r="11" spans="1:7" ht="15.75" x14ac:dyDescent="0.25">
      <c r="A11" s="47" t="s">
        <v>117</v>
      </c>
      <c r="B11" s="395" t="s">
        <v>118</v>
      </c>
      <c r="C11" s="92"/>
      <c r="D11" s="328">
        <f>SUM(D12:D17)</f>
        <v>136787.41</v>
      </c>
      <c r="E11" s="328">
        <f>SUM(E12:E17)</f>
        <v>123941.72</v>
      </c>
      <c r="G11" s="22"/>
    </row>
    <row r="12" spans="1:7" ht="31.5" x14ac:dyDescent="0.25">
      <c r="A12" s="31" t="s">
        <v>575</v>
      </c>
      <c r="B12" s="392" t="s">
        <v>118</v>
      </c>
      <c r="C12" s="392" t="s">
        <v>213</v>
      </c>
      <c r="D12" s="330">
        <f>'пр.5.1.рдпрцс 22-23 (2)'!F10</f>
        <v>4867.3999999999996</v>
      </c>
      <c r="E12" s="330">
        <f>'пр.5.1.рдпрцс 22-23 (2)'!G10</f>
        <v>4867.3999999999996</v>
      </c>
    </row>
    <row r="13" spans="1:7" ht="47.25" x14ac:dyDescent="0.25">
      <c r="A13" s="31" t="s">
        <v>578</v>
      </c>
      <c r="B13" s="392" t="s">
        <v>118</v>
      </c>
      <c r="C13" s="392" t="s">
        <v>215</v>
      </c>
      <c r="D13" s="330">
        <f>'пр.5.1.рдпрцс 22-23 (2)'!F29</f>
        <v>5488</v>
      </c>
      <c r="E13" s="330">
        <f>'пр.5.1.рдпрцс 22-23 (2)'!G29</f>
        <v>5488</v>
      </c>
    </row>
    <row r="14" spans="1:7" ht="47.25" x14ac:dyDescent="0.25">
      <c r="A14" s="396" t="s">
        <v>149</v>
      </c>
      <c r="B14" s="392" t="s">
        <v>118</v>
      </c>
      <c r="C14" s="392" t="s">
        <v>150</v>
      </c>
      <c r="D14" s="330">
        <f>'пр.5.1.рдпрцс 22-23 (2)'!F45</f>
        <v>56977.11</v>
      </c>
      <c r="E14" s="330">
        <f>'пр.5.1.рдпрцс 22-23 (2)'!G45</f>
        <v>43788.420000000006</v>
      </c>
    </row>
    <row r="15" spans="1:7" ht="47.25" x14ac:dyDescent="0.25">
      <c r="A15" s="396" t="s">
        <v>119</v>
      </c>
      <c r="B15" s="392" t="s">
        <v>118</v>
      </c>
      <c r="C15" s="392" t="s">
        <v>120</v>
      </c>
      <c r="D15" s="330">
        <f>'пр.5.1.рдпрцс 22-23 (2)'!F106</f>
        <v>16636.7</v>
      </c>
      <c r="E15" s="330">
        <f>'пр.5.1.рдпрцс 22-23 (2)'!G106</f>
        <v>16636.7</v>
      </c>
    </row>
    <row r="16" spans="1:7" ht="15.75" hidden="1" x14ac:dyDescent="0.25">
      <c r="A16" s="396" t="s">
        <v>1145</v>
      </c>
      <c r="B16" s="392" t="s">
        <v>118</v>
      </c>
      <c r="C16" s="392" t="s">
        <v>264</v>
      </c>
      <c r="D16" s="330">
        <f>'пр.5.1.рдпрцс 22-23 (2)'!F128</f>
        <v>0</v>
      </c>
      <c r="E16" s="330">
        <f>'пр.5.1.рдпрцс 22-23 (2)'!G128</f>
        <v>0</v>
      </c>
    </row>
    <row r="17" spans="1:7" ht="15.75" x14ac:dyDescent="0.25">
      <c r="A17" s="93" t="s">
        <v>139</v>
      </c>
      <c r="B17" s="392" t="s">
        <v>118</v>
      </c>
      <c r="C17" s="392" t="s">
        <v>140</v>
      </c>
      <c r="D17" s="330">
        <f>'пр.5.1.рдпрцс 22-23 (2)'!F136</f>
        <v>52818.200000000004</v>
      </c>
      <c r="E17" s="330">
        <f>'пр.5.1.рдпрцс 22-23 (2)'!G136</f>
        <v>53161.200000000004</v>
      </c>
    </row>
    <row r="18" spans="1:7" ht="15.75" hidden="1" x14ac:dyDescent="0.25">
      <c r="A18" s="391" t="s">
        <v>212</v>
      </c>
      <c r="B18" s="395" t="s">
        <v>213</v>
      </c>
      <c r="C18" s="392"/>
      <c r="D18" s="328">
        <f>'[1]пр.3 Рд,пр 21'!D18</f>
        <v>0</v>
      </c>
      <c r="E18" s="328">
        <f>'[1]пр.3 Рд,пр 21'!E18</f>
        <v>0</v>
      </c>
    </row>
    <row r="19" spans="1:7" ht="15.75" hidden="1" x14ac:dyDescent="0.25">
      <c r="A19" s="396" t="s">
        <v>218</v>
      </c>
      <c r="B19" s="392" t="s">
        <v>213</v>
      </c>
      <c r="C19" s="392" t="s">
        <v>219</v>
      </c>
      <c r="D19" s="330">
        <f>'[1]пр.3 Рд,пр 21'!D19</f>
        <v>0</v>
      </c>
      <c r="E19" s="330">
        <f>'[1]пр.3 Рд,пр 21'!E19</f>
        <v>0</v>
      </c>
    </row>
    <row r="20" spans="1:7" ht="31.5" x14ac:dyDescent="0.25">
      <c r="A20" s="34" t="s">
        <v>222</v>
      </c>
      <c r="B20" s="395" t="s">
        <v>215</v>
      </c>
      <c r="C20" s="395"/>
      <c r="D20" s="328">
        <f>D21</f>
        <v>8197.1</v>
      </c>
      <c r="E20" s="328">
        <f>E21</f>
        <v>8197.1</v>
      </c>
    </row>
    <row r="21" spans="1:7" ht="31.5" x14ac:dyDescent="0.25">
      <c r="A21" s="31" t="s">
        <v>1344</v>
      </c>
      <c r="B21" s="392" t="s">
        <v>215</v>
      </c>
      <c r="C21" s="392" t="s">
        <v>244</v>
      </c>
      <c r="D21" s="330">
        <f>'пр.5.1.рдпрцс 22-23 (2)'!F231</f>
        <v>8197.1</v>
      </c>
      <c r="E21" s="330">
        <f>'пр.5.1.рдпрцс 22-23 (2)'!G231</f>
        <v>8197.1</v>
      </c>
    </row>
    <row r="22" spans="1:7" ht="15.75" x14ac:dyDescent="0.25">
      <c r="A22" s="47" t="s">
        <v>232</v>
      </c>
      <c r="B22" s="395" t="s">
        <v>150</v>
      </c>
      <c r="C22" s="395"/>
      <c r="D22" s="328">
        <f>SUM(D23:D26)</f>
        <v>6525.2</v>
      </c>
      <c r="E22" s="328">
        <f>SUM(E23:E26)</f>
        <v>6535.8</v>
      </c>
    </row>
    <row r="23" spans="1:7" ht="15.75" x14ac:dyDescent="0.25">
      <c r="A23" s="94" t="s">
        <v>233</v>
      </c>
      <c r="B23" s="392" t="s">
        <v>150</v>
      </c>
      <c r="C23" s="392" t="s">
        <v>234</v>
      </c>
      <c r="D23" s="330">
        <f>'пр.5.1.рдпрцс 22-23 (2)'!F250</f>
        <v>274</v>
      </c>
      <c r="E23" s="330">
        <f>'пр.5.1.рдпрцс 22-23 (2)'!G250</f>
        <v>274</v>
      </c>
    </row>
    <row r="24" spans="1:7" ht="15.75" x14ac:dyDescent="0.25">
      <c r="A24" s="93" t="s">
        <v>505</v>
      </c>
      <c r="B24" s="392" t="s">
        <v>150</v>
      </c>
      <c r="C24" s="392" t="s">
        <v>299</v>
      </c>
      <c r="D24" s="330">
        <f>'пр.5.1.рдпрцс 22-23 (2)'!F263</f>
        <v>3258</v>
      </c>
      <c r="E24" s="330">
        <f>'пр.5.1.рдпрцс 22-23 (2)'!G263</f>
        <v>3258</v>
      </c>
    </row>
    <row r="25" spans="1:7" ht="15.75" x14ac:dyDescent="0.25">
      <c r="A25" s="93" t="s">
        <v>508</v>
      </c>
      <c r="B25" s="392" t="s">
        <v>150</v>
      </c>
      <c r="C25" s="392" t="s">
        <v>219</v>
      </c>
      <c r="D25" s="330">
        <f>'пр.5.1.рдпрцс 22-23 (2)'!F269</f>
        <v>2319</v>
      </c>
      <c r="E25" s="330">
        <f>'пр.5.1.рдпрцс 22-23 (2)'!G269</f>
        <v>2319</v>
      </c>
    </row>
    <row r="26" spans="1:7" ht="15.75" x14ac:dyDescent="0.25">
      <c r="A26" s="95" t="s">
        <v>237</v>
      </c>
      <c r="B26" s="392" t="s">
        <v>150</v>
      </c>
      <c r="C26" s="392" t="s">
        <v>238</v>
      </c>
      <c r="D26" s="330">
        <f>'пр.5.1.рдпрцс 22-23 (2)'!F283</f>
        <v>674.2</v>
      </c>
      <c r="E26" s="330">
        <f>'пр.5.1.рдпрцс 22-23 (2)'!G283</f>
        <v>684.8</v>
      </c>
    </row>
    <row r="27" spans="1:7" ht="15.75" x14ac:dyDescent="0.25">
      <c r="A27" s="47" t="s">
        <v>390</v>
      </c>
      <c r="B27" s="395" t="s">
        <v>234</v>
      </c>
      <c r="C27" s="395"/>
      <c r="D27" s="328">
        <f>SUM(D28:D31)</f>
        <v>41786.1</v>
      </c>
      <c r="E27" s="328">
        <f>SUM(E28:E31)</f>
        <v>49898.45</v>
      </c>
    </row>
    <row r="28" spans="1:7" ht="15.75" x14ac:dyDescent="0.25">
      <c r="A28" s="94" t="s">
        <v>391</v>
      </c>
      <c r="B28" s="392" t="s">
        <v>234</v>
      </c>
      <c r="C28" s="392" t="s">
        <v>118</v>
      </c>
      <c r="D28" s="330">
        <f>'пр.5.1.рдпрцс 22-23 (2)'!F315</f>
        <v>6060.4</v>
      </c>
      <c r="E28" s="330">
        <f>'пр.5.1.рдпрцс 22-23 (2)'!G315</f>
        <v>6060.4</v>
      </c>
    </row>
    <row r="29" spans="1:7" ht="15.75" x14ac:dyDescent="0.25">
      <c r="A29" s="94" t="s">
        <v>517</v>
      </c>
      <c r="B29" s="392" t="s">
        <v>234</v>
      </c>
      <c r="C29" s="392" t="s">
        <v>213</v>
      </c>
      <c r="D29" s="330">
        <f>'пр.5.1.рдпрцс 22-23 (2)'!F329</f>
        <v>6611.199999999998</v>
      </c>
      <c r="E29" s="330">
        <f>'пр.5.1.рдпрцс 22-23 (2)'!G329</f>
        <v>14470.550000000001</v>
      </c>
    </row>
    <row r="30" spans="1:7" ht="15.75" x14ac:dyDescent="0.25">
      <c r="A30" s="93" t="s">
        <v>541</v>
      </c>
      <c r="B30" s="392" t="s">
        <v>234</v>
      </c>
      <c r="C30" s="392" t="s">
        <v>215</v>
      </c>
      <c r="D30" s="330">
        <f>'пр.5.1.рдпрцс 22-23 (2)'!F393</f>
        <v>3810</v>
      </c>
      <c r="E30" s="330">
        <f>'пр.5.1.рдпрцс 22-23 (2)'!G393</f>
        <v>4063</v>
      </c>
    </row>
    <row r="31" spans="1:7" ht="15.75" x14ac:dyDescent="0.25">
      <c r="A31" s="396" t="s">
        <v>569</v>
      </c>
      <c r="B31" s="392" t="s">
        <v>234</v>
      </c>
      <c r="C31" s="392" t="s">
        <v>234</v>
      </c>
      <c r="D31" s="330">
        <f>'пр.5.1.рдпрцс 22-23 (2)'!F443</f>
        <v>25304.5</v>
      </c>
      <c r="E31" s="330">
        <f>'пр.5.1.рдпрцс 22-23 (2)'!G443</f>
        <v>25304.5</v>
      </c>
    </row>
    <row r="32" spans="1:7" ht="15.75" x14ac:dyDescent="0.25">
      <c r="A32" s="47" t="s">
        <v>263</v>
      </c>
      <c r="B32" s="395" t="s">
        <v>264</v>
      </c>
      <c r="C32" s="395"/>
      <c r="D32" s="328">
        <f>SUM(D33:D37)</f>
        <v>366206.80999999994</v>
      </c>
      <c r="E32" s="328">
        <f>SUM(E33:E37)</f>
        <v>389340.15999999997</v>
      </c>
      <c r="G32" s="22"/>
    </row>
    <row r="33" spans="1:7" ht="15.75" x14ac:dyDescent="0.25">
      <c r="A33" s="93" t="s">
        <v>404</v>
      </c>
      <c r="B33" s="392" t="s">
        <v>264</v>
      </c>
      <c r="C33" s="392" t="s">
        <v>118</v>
      </c>
      <c r="D33" s="330">
        <f>'пр.5.1.рдпрцс 22-23 (2)'!F479</f>
        <v>102250.3</v>
      </c>
      <c r="E33" s="330">
        <f>'пр.5.1.рдпрцс 22-23 (2)'!G479</f>
        <v>105829.20000000001</v>
      </c>
    </row>
    <row r="34" spans="1:7" ht="15.75" x14ac:dyDescent="0.25">
      <c r="A34" s="93" t="s">
        <v>425</v>
      </c>
      <c r="B34" s="392" t="s">
        <v>264</v>
      </c>
      <c r="C34" s="392" t="s">
        <v>213</v>
      </c>
      <c r="D34" s="330">
        <f>'пр.5.1.рдпрцс 22-23 (2)'!F542</f>
        <v>177341.49999999997</v>
      </c>
      <c r="E34" s="330">
        <f>'пр.5.1.рдпрцс 22-23 (2)'!G542</f>
        <v>196805.15000000002</v>
      </c>
    </row>
    <row r="35" spans="1:7" ht="15.75" x14ac:dyDescent="0.25">
      <c r="A35" s="93" t="s">
        <v>265</v>
      </c>
      <c r="B35" s="392" t="s">
        <v>264</v>
      </c>
      <c r="C35" s="392" t="s">
        <v>215</v>
      </c>
      <c r="D35" s="330">
        <f>'пр.5.1.рдпрцс 22-23 (2)'!F620</f>
        <v>60278.110000000008</v>
      </c>
      <c r="E35" s="330">
        <f>'пр.5.1.рдпрцс 22-23 (2)'!G620</f>
        <v>60303.91</v>
      </c>
    </row>
    <row r="36" spans="1:7" ht="15.75" x14ac:dyDescent="0.25">
      <c r="A36" s="93" t="s">
        <v>466</v>
      </c>
      <c r="B36" s="392" t="s">
        <v>264</v>
      </c>
      <c r="C36" s="392" t="s">
        <v>264</v>
      </c>
      <c r="D36" s="330">
        <f>'пр.5.1.рдпрцс 22-23 (2)'!F689</f>
        <v>6505.1</v>
      </c>
      <c r="E36" s="330">
        <f>'пр.5.1.рдпрцс 22-23 (2)'!G689</f>
        <v>6570.1</v>
      </c>
    </row>
    <row r="37" spans="1:7" ht="15.75" x14ac:dyDescent="0.25">
      <c r="A37" s="93" t="s">
        <v>295</v>
      </c>
      <c r="B37" s="392" t="s">
        <v>264</v>
      </c>
      <c r="C37" s="392" t="s">
        <v>219</v>
      </c>
      <c r="D37" s="330">
        <f>'пр.5.1.рдпрцс 22-23 (2)'!F714</f>
        <v>19831.8</v>
      </c>
      <c r="E37" s="330">
        <f>'пр.5.1.рдпрцс 22-23 (2)'!G714</f>
        <v>19831.8</v>
      </c>
    </row>
    <row r="38" spans="1:7" ht="15.75" x14ac:dyDescent="0.25">
      <c r="A38" s="96" t="s">
        <v>298</v>
      </c>
      <c r="B38" s="395" t="s">
        <v>299</v>
      </c>
      <c r="C38" s="392"/>
      <c r="D38" s="328">
        <f>SUM(D39:D40)</f>
        <v>76411.28</v>
      </c>
      <c r="E38" s="328">
        <f>SUM(E39:E40)</f>
        <v>77665.48</v>
      </c>
    </row>
    <row r="39" spans="1:7" ht="15.75" x14ac:dyDescent="0.25">
      <c r="A39" s="95" t="s">
        <v>300</v>
      </c>
      <c r="B39" s="392" t="s">
        <v>299</v>
      </c>
      <c r="C39" s="392" t="s">
        <v>118</v>
      </c>
      <c r="D39" s="330">
        <f>'пр.5.1.рдпрцс 22-23 (2)'!F742</f>
        <v>57844.87999999999</v>
      </c>
      <c r="E39" s="330">
        <f>'пр.5.1.рдпрцс 22-23 (2)'!G742</f>
        <v>59070.079999999994</v>
      </c>
    </row>
    <row r="40" spans="1:7" ht="15.75" x14ac:dyDescent="0.25">
      <c r="A40" s="95" t="s">
        <v>333</v>
      </c>
      <c r="B40" s="392" t="s">
        <v>299</v>
      </c>
      <c r="C40" s="392" t="s">
        <v>150</v>
      </c>
      <c r="D40" s="330">
        <f>'пр.5.1.рдпрцс 22-23 (2)'!F795</f>
        <v>18566.400000000001</v>
      </c>
      <c r="E40" s="330">
        <f>'пр.5.1.рдпрцс 22-23 (2)'!G795</f>
        <v>18595.400000000001</v>
      </c>
    </row>
    <row r="41" spans="1:7" ht="15.75" x14ac:dyDescent="0.25">
      <c r="A41" s="47" t="s">
        <v>243</v>
      </c>
      <c r="B41" s="395" t="s">
        <v>244</v>
      </c>
      <c r="C41" s="395"/>
      <c r="D41" s="328">
        <f>SUM(D42:D45)</f>
        <v>18033.41</v>
      </c>
      <c r="E41" s="328">
        <f>SUM(E42:E45)</f>
        <v>26348.010000000002</v>
      </c>
      <c r="G41" s="22"/>
    </row>
    <row r="42" spans="1:7" ht="15.75" x14ac:dyDescent="0.25">
      <c r="A42" s="93" t="s">
        <v>245</v>
      </c>
      <c r="B42" s="392" t="s">
        <v>244</v>
      </c>
      <c r="C42" s="392" t="s">
        <v>118</v>
      </c>
      <c r="D42" s="330">
        <f>'пр.5.1.рдпрцс 22-23 (2)'!F830</f>
        <v>9815.2999999999993</v>
      </c>
      <c r="E42" s="330">
        <f>'пр.5.1.рдпрцс 22-23 (2)'!G830</f>
        <v>9815.2999999999993</v>
      </c>
    </row>
    <row r="43" spans="1:7" ht="15.75" x14ac:dyDescent="0.25">
      <c r="A43" s="396" t="s">
        <v>252</v>
      </c>
      <c r="B43" s="392" t="s">
        <v>244</v>
      </c>
      <c r="C43" s="392" t="s">
        <v>215</v>
      </c>
      <c r="D43" s="330">
        <f>'пр.5.1.рдпрцс 22-23 (2)'!F836</f>
        <v>2011.6100000000001</v>
      </c>
      <c r="E43" s="330">
        <f>'пр.5.1.рдпрцс 22-23 (2)'!G836</f>
        <v>2036.1100000000001</v>
      </c>
    </row>
    <row r="44" spans="1:7" ht="15.75" x14ac:dyDescent="0.25">
      <c r="A44" s="396" t="s">
        <v>400</v>
      </c>
      <c r="B44" s="392" t="s">
        <v>244</v>
      </c>
      <c r="C44" s="392" t="s">
        <v>150</v>
      </c>
      <c r="D44" s="330">
        <f>'пр.5.1.рдпрцс 22-23 (2)'!F867</f>
        <v>2469.1</v>
      </c>
      <c r="E44" s="330">
        <f>'пр.5.1.рдпрцс 22-23 (2)'!G867</f>
        <v>10803.2</v>
      </c>
    </row>
    <row r="45" spans="1:7" ht="15.75" x14ac:dyDescent="0.25">
      <c r="A45" s="396" t="s">
        <v>258</v>
      </c>
      <c r="B45" s="392" t="s">
        <v>244</v>
      </c>
      <c r="C45" s="392" t="s">
        <v>120</v>
      </c>
      <c r="D45" s="330">
        <f>'пр.5.1.рдпрцс 22-23 (2)'!F872</f>
        <v>3737.4</v>
      </c>
      <c r="E45" s="330">
        <f>'пр.5.1.рдпрцс 22-23 (2)'!G872</f>
        <v>3693.4</v>
      </c>
    </row>
    <row r="46" spans="1:7" ht="15.75" x14ac:dyDescent="0.25">
      <c r="A46" s="96" t="s">
        <v>490</v>
      </c>
      <c r="B46" s="395" t="s">
        <v>491</v>
      </c>
      <c r="C46" s="392"/>
      <c r="D46" s="328">
        <f>SUM(D47:D48)</f>
        <v>63981.399999999994</v>
      </c>
      <c r="E46" s="328">
        <f>SUM(E47:E48)</f>
        <v>64012.600000000006</v>
      </c>
      <c r="G46" s="22"/>
    </row>
    <row r="47" spans="1:7" ht="15.75" x14ac:dyDescent="0.25">
      <c r="A47" s="95" t="s">
        <v>492</v>
      </c>
      <c r="B47" s="392" t="s">
        <v>491</v>
      </c>
      <c r="C47" s="392" t="s">
        <v>118</v>
      </c>
      <c r="D47" s="330">
        <f>'пр.5.1.рдпрцс 22-23 (2)'!F886</f>
        <v>50452.2</v>
      </c>
      <c r="E47" s="330">
        <f>'пр.5.1.рдпрцс 22-23 (2)'!G886</f>
        <v>50483.4</v>
      </c>
    </row>
    <row r="48" spans="1:7" ht="15.75" x14ac:dyDescent="0.25">
      <c r="A48" s="95" t="s">
        <v>500</v>
      </c>
      <c r="B48" s="392" t="s">
        <v>491</v>
      </c>
      <c r="C48" s="392" t="s">
        <v>234</v>
      </c>
      <c r="D48" s="330">
        <f>'пр.5.1.рдпрцс 22-23 (2)'!F923</f>
        <v>13529.2</v>
      </c>
      <c r="E48" s="330">
        <f>'пр.5.1.рдпрцс 22-23 (2)'!G923</f>
        <v>13529.2</v>
      </c>
    </row>
    <row r="49" spans="1:7" ht="15.75" x14ac:dyDescent="0.25">
      <c r="A49" s="391" t="s">
        <v>582</v>
      </c>
      <c r="B49" s="395" t="s">
        <v>238</v>
      </c>
      <c r="C49" s="392"/>
      <c r="D49" s="328">
        <f>D50</f>
        <v>5873.2</v>
      </c>
      <c r="E49" s="328">
        <f>E50</f>
        <v>5876.2</v>
      </c>
    </row>
    <row r="50" spans="1:7" ht="15.75" x14ac:dyDescent="0.25">
      <c r="A50" s="31" t="s">
        <v>583</v>
      </c>
      <c r="B50" s="392" t="s">
        <v>238</v>
      </c>
      <c r="C50" s="392" t="s">
        <v>213</v>
      </c>
      <c r="D50" s="330">
        <f>'пр.5.1.рдпрцс 22-23 (2)'!F952</f>
        <v>5873.2</v>
      </c>
      <c r="E50" s="330">
        <f>'пр.5.1.рдпрцс 22-23 (2)'!G952</f>
        <v>5876.2</v>
      </c>
    </row>
    <row r="51" spans="1:7" ht="15.75" x14ac:dyDescent="0.25">
      <c r="A51" s="92" t="s">
        <v>678</v>
      </c>
      <c r="B51" s="395"/>
      <c r="C51" s="395"/>
      <c r="D51" s="328">
        <f>D11+D20+D22+D27+D32+D38+D41+D46+D49+D10</f>
        <v>736280.60250000004</v>
      </c>
      <c r="E51" s="328">
        <f>E11+E20+E22+E27+E32+E38+E41+E46+E49+E10</f>
        <v>777267.39999999991</v>
      </c>
      <c r="G51" s="22"/>
    </row>
    <row r="52" spans="1:7" x14ac:dyDescent="0.25">
      <c r="D52" s="22">
        <f>'пр.5.1.рдпрцс 22-23 (2)'!F970</f>
        <v>736280.60250000004</v>
      </c>
      <c r="E52" s="22">
        <f>'пр.5.1.рдпрцс 22-23 (2)'!G970</f>
        <v>777267.39999999991</v>
      </c>
    </row>
    <row r="53" spans="1:7" hidden="1" x14ac:dyDescent="0.25">
      <c r="D53" s="22">
        <f>'Пр.1.1. дох.22-23 (2)'!C155</f>
        <v>736280.6</v>
      </c>
      <c r="E53" s="22">
        <f>'Пр.1.1. дох.22-23 (2)'!D155</f>
        <v>777267.39999999991</v>
      </c>
    </row>
    <row r="54" spans="1:7" hidden="1" x14ac:dyDescent="0.25"/>
    <row r="55" spans="1:7" hidden="1" x14ac:dyDescent="0.25">
      <c r="D55" s="22">
        <f>D53-D51</f>
        <v>-2.5000000605359674E-3</v>
      </c>
      <c r="E55" s="22">
        <f>E53-E51</f>
        <v>0</v>
      </c>
    </row>
    <row r="56" spans="1:7" ht="15.6" hidden="1" customHeight="1" x14ac:dyDescent="0.25">
      <c r="D56" s="22">
        <f>'пр.6.1.ведом.22-23 (2)'!G1094</f>
        <v>736280.59999999986</v>
      </c>
      <c r="E56" s="22">
        <f>'пр.6.1.ведом.22-23 (2)'!H1094</f>
        <v>777267.39999999991</v>
      </c>
    </row>
    <row r="57" spans="1:7" hidden="1" x14ac:dyDescent="0.25"/>
    <row r="58" spans="1:7" hidden="1" x14ac:dyDescent="0.25">
      <c r="D58" s="22">
        <f>D56-D51</f>
        <v>-2.5000001769512892E-3</v>
      </c>
      <c r="E58" s="22">
        <f>E56-E51</f>
        <v>0</v>
      </c>
    </row>
  </sheetData>
  <mergeCells count="7">
    <mergeCell ref="A7:C7"/>
    <mergeCell ref="D1:E1"/>
    <mergeCell ref="D2:E2"/>
    <mergeCell ref="D3:E3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57" zoomScaleNormal="100" zoomScaleSheetLayoutView="100" workbookViewId="0">
      <selection activeCell="F3" sqref="F3:G3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192"/>
      <c r="E1" s="192"/>
      <c r="F1" s="539" t="s">
        <v>1689</v>
      </c>
      <c r="G1" s="539"/>
    </row>
    <row r="2" spans="1:10" ht="15.75" x14ac:dyDescent="0.25">
      <c r="A2" s="56"/>
      <c r="B2" s="56"/>
      <c r="C2" s="56"/>
      <c r="D2" s="192"/>
      <c r="E2" s="192"/>
      <c r="F2" s="539" t="s">
        <v>1497</v>
      </c>
      <c r="G2" s="539"/>
    </row>
    <row r="3" spans="1:10" ht="18.75" x14ac:dyDescent="0.3">
      <c r="A3" s="56"/>
      <c r="B3" s="56"/>
      <c r="C3" s="56"/>
      <c r="D3" s="192"/>
      <c r="E3" s="183"/>
      <c r="F3" s="539" t="s">
        <v>1695</v>
      </c>
      <c r="G3" s="539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56" t="s">
        <v>1304</v>
      </c>
      <c r="B5" s="556"/>
      <c r="C5" s="556"/>
      <c r="D5" s="556"/>
      <c r="E5" s="556"/>
      <c r="F5" s="556"/>
      <c r="G5" s="556"/>
    </row>
    <row r="6" spans="1:10" x14ac:dyDescent="0.25">
      <c r="A6" s="56"/>
      <c r="B6" s="56"/>
      <c r="C6" s="56"/>
      <c r="D6" s="56"/>
      <c r="E6" s="56"/>
      <c r="F6" s="115"/>
      <c r="G6" s="250" t="s">
        <v>1</v>
      </c>
    </row>
    <row r="7" spans="1:10" ht="35.450000000000003" customHeight="1" x14ac:dyDescent="0.25">
      <c r="A7" s="210" t="s">
        <v>592</v>
      </c>
      <c r="B7" s="211" t="s">
        <v>112</v>
      </c>
      <c r="C7" s="211" t="s">
        <v>113</v>
      </c>
      <c r="D7" s="211" t="s">
        <v>114</v>
      </c>
      <c r="E7" s="211" t="s">
        <v>115</v>
      </c>
      <c r="F7" s="251" t="s">
        <v>1083</v>
      </c>
      <c r="G7" s="251" t="s">
        <v>1305</v>
      </c>
      <c r="H7" s="216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245734.72000000003</v>
      </c>
      <c r="I7" s="216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240673.52000000002</v>
      </c>
    </row>
    <row r="8" spans="1:10" s="191" customFormat="1" ht="16.350000000000001" customHeight="1" x14ac:dyDescent="0.25">
      <c r="A8" s="273" t="s">
        <v>1412</v>
      </c>
      <c r="B8" s="274"/>
      <c r="C8" s="274"/>
      <c r="D8" s="274"/>
      <c r="E8" s="274"/>
      <c r="F8" s="275">
        <f>'пр.4.1.ведом.22-23'!G9</f>
        <v>8227.4860250000002</v>
      </c>
      <c r="G8" s="275">
        <f>'пр.2.1. рдпр 22-23'!E10</f>
        <v>25451.88</v>
      </c>
      <c r="H8" s="216"/>
      <c r="I8" s="216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136787.32</v>
      </c>
      <c r="G9" s="4">
        <f>G10+G29+G45+G106+G136+G128</f>
        <v>123941.67000000001</v>
      </c>
      <c r="H9" s="209"/>
      <c r="I9" s="209"/>
      <c r="J9" s="209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09"/>
      <c r="I10" s="209"/>
    </row>
    <row r="11" spans="1:10" ht="31.5" x14ac:dyDescent="0.25">
      <c r="A11" s="23" t="s">
        <v>916</v>
      </c>
      <c r="B11" s="7" t="s">
        <v>118</v>
      </c>
      <c r="C11" s="7" t="s">
        <v>213</v>
      </c>
      <c r="D11" s="7" t="s">
        <v>857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917</v>
      </c>
      <c r="B12" s="7" t="s">
        <v>118</v>
      </c>
      <c r="C12" s="7" t="s">
        <v>213</v>
      </c>
      <c r="D12" s="7" t="s">
        <v>858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1328</v>
      </c>
      <c r="E13" s="40"/>
      <c r="F13" s="6">
        <f>F14+F16</f>
        <v>4826.8999999999996</v>
      </c>
      <c r="G13" s="6">
        <f>G14+G16</f>
        <v>4826.8999999999996</v>
      </c>
      <c r="H13" s="216">
        <f>F13+F18+F48+F57+F60+F118+F125+F446+F453+F717+F798+F803+F926+F929+F722</f>
        <v>104071.90000000001</v>
      </c>
      <c r="I13" s="216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1328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1328</v>
      </c>
      <c r="E15" s="40" t="s">
        <v>130</v>
      </c>
      <c r="F15" s="6">
        <f>'пр.4.1.ведом.22-23'!G38</f>
        <v>4736.8999999999996</v>
      </c>
      <c r="G15" s="6">
        <f>'пр.4.1.ведом.22-23'!H38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1328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1328</v>
      </c>
      <c r="E17" s="40" t="s">
        <v>134</v>
      </c>
      <c r="F17" s="6">
        <f>'пр.4.1.ведом.22-23'!G40</f>
        <v>90</v>
      </c>
      <c r="G17" s="6">
        <f>'пр.4.1.ведом.22-23'!H40</f>
        <v>90</v>
      </c>
    </row>
    <row r="18" spans="1:9" ht="47.25" hidden="1" x14ac:dyDescent="0.25">
      <c r="A18" s="25" t="s">
        <v>838</v>
      </c>
      <c r="B18" s="40" t="s">
        <v>118</v>
      </c>
      <c r="C18" s="40" t="s">
        <v>213</v>
      </c>
      <c r="D18" s="40" t="s">
        <v>861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861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861</v>
      </c>
      <c r="E20" s="40" t="s">
        <v>130</v>
      </c>
      <c r="F20" s="6">
        <f>'пр.4.1.ведом.22-23'!G43</f>
        <v>0</v>
      </c>
      <c r="G20" s="6">
        <f>'пр.4.1.ведом.22-23'!H43</f>
        <v>0</v>
      </c>
    </row>
    <row r="21" spans="1:9" ht="47.25" x14ac:dyDescent="0.25">
      <c r="A21" s="23" t="s">
        <v>1337</v>
      </c>
      <c r="B21" s="24" t="s">
        <v>118</v>
      </c>
      <c r="C21" s="7" t="s">
        <v>213</v>
      </c>
      <c r="D21" s="24" t="s">
        <v>162</v>
      </c>
      <c r="E21" s="7"/>
      <c r="F21" s="332">
        <f>F22</f>
        <v>40.5</v>
      </c>
      <c r="G21" s="332">
        <f>G22</f>
        <v>40.5</v>
      </c>
    </row>
    <row r="22" spans="1:9" ht="78.75" x14ac:dyDescent="0.25">
      <c r="A22" s="204" t="s">
        <v>842</v>
      </c>
      <c r="B22" s="24" t="s">
        <v>118</v>
      </c>
      <c r="C22" s="7" t="s">
        <v>213</v>
      </c>
      <c r="D22" s="7" t="s">
        <v>849</v>
      </c>
      <c r="E22" s="7"/>
      <c r="F22" s="332">
        <f>F23+F26</f>
        <v>40.5</v>
      </c>
      <c r="G22" s="332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992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992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'пр.4.1.ведом.22-23'!G48</f>
        <v>40.5</v>
      </c>
      <c r="G25" s="6">
        <f>'пр.4.1.ведом.22-23'!H48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991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991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991</v>
      </c>
      <c r="E28" s="20" t="s">
        <v>134</v>
      </c>
      <c r="F28" s="6">
        <f>'пр.4.1.ведом.22-23'!G51</f>
        <v>0</v>
      </c>
      <c r="G28" s="6">
        <f>'пр.4.1.ведом.22-23'!H51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5488</v>
      </c>
      <c r="G29" s="4">
        <f t="shared" si="2"/>
        <v>5488</v>
      </c>
    </row>
    <row r="30" spans="1:9" ht="31.5" x14ac:dyDescent="0.25">
      <c r="A30" s="23" t="s">
        <v>916</v>
      </c>
      <c r="B30" s="7" t="s">
        <v>118</v>
      </c>
      <c r="C30" s="7" t="s">
        <v>215</v>
      </c>
      <c r="D30" s="7" t="s">
        <v>857</v>
      </c>
      <c r="E30" s="7"/>
      <c r="F30" s="4">
        <f t="shared" si="2"/>
        <v>5488</v>
      </c>
      <c r="G30" s="4">
        <f t="shared" si="2"/>
        <v>5488</v>
      </c>
    </row>
    <row r="31" spans="1:9" ht="31.5" x14ac:dyDescent="0.25">
      <c r="A31" s="23" t="s">
        <v>985</v>
      </c>
      <c r="B31" s="7" t="s">
        <v>118</v>
      </c>
      <c r="C31" s="7" t="s">
        <v>215</v>
      </c>
      <c r="D31" s="7" t="s">
        <v>986</v>
      </c>
      <c r="E31" s="7"/>
      <c r="F31" s="4">
        <f>F32+F37</f>
        <v>5488</v>
      </c>
      <c r="G31" s="388">
        <f>G32+G37</f>
        <v>5488</v>
      </c>
    </row>
    <row r="32" spans="1:9" s="191" customFormat="1" ht="47.25" x14ac:dyDescent="0.25">
      <c r="A32" s="265" t="s">
        <v>1362</v>
      </c>
      <c r="B32" s="20" t="s">
        <v>118</v>
      </c>
      <c r="C32" s="20" t="s">
        <v>215</v>
      </c>
      <c r="D32" s="20" t="s">
        <v>1400</v>
      </c>
      <c r="E32" s="24"/>
      <c r="F32" s="6">
        <f>F33+F35</f>
        <v>4247.6000000000004</v>
      </c>
      <c r="G32" s="6">
        <f>G33+G35</f>
        <v>4247.6000000000004</v>
      </c>
      <c r="H32" s="216">
        <f>F32+F37+F109+F114</f>
        <v>7286.5</v>
      </c>
      <c r="I32" s="216">
        <f>G32+G37+G109+G114</f>
        <v>7286.5</v>
      </c>
    </row>
    <row r="33" spans="1:9" s="191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1400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191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1400</v>
      </c>
      <c r="E34" s="20" t="s">
        <v>130</v>
      </c>
      <c r="F34" s="6">
        <f>'пр.4.1.ведом.22-23'!G1072</f>
        <v>4154.6000000000004</v>
      </c>
      <c r="G34" s="389">
        <f>'пр.4.1.ведом.22-23'!H1072</f>
        <v>4154.6000000000004</v>
      </c>
    </row>
    <row r="35" spans="1:9" s="191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1400</v>
      </c>
      <c r="E35" s="20" t="s">
        <v>132</v>
      </c>
      <c r="F35" s="6">
        <f>F36</f>
        <v>93</v>
      </c>
      <c r="G35" s="6">
        <f>G36</f>
        <v>93</v>
      </c>
    </row>
    <row r="36" spans="1:9" s="191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1400</v>
      </c>
      <c r="E36" s="20" t="s">
        <v>134</v>
      </c>
      <c r="F36" s="6">
        <f>'пр.4.1.ведом.22-23'!G1074</f>
        <v>93</v>
      </c>
      <c r="G36" s="389">
        <f>'пр.4.1.ведом.22-23'!H1074</f>
        <v>93</v>
      </c>
    </row>
    <row r="37" spans="1:9" ht="31.5" x14ac:dyDescent="0.25">
      <c r="A37" s="25" t="s">
        <v>989</v>
      </c>
      <c r="B37" s="40" t="s">
        <v>118</v>
      </c>
      <c r="C37" s="40" t="s">
        <v>215</v>
      </c>
      <c r="D37" s="40" t="s">
        <v>990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990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990</v>
      </c>
      <c r="E39" s="40" t="s">
        <v>130</v>
      </c>
      <c r="F39" s="6">
        <f>'пр.4.1.ведом.22-23'!G1077</f>
        <v>1240.4000000000001</v>
      </c>
      <c r="G39" s="389">
        <f>'пр.4.1.ведом.22-23'!H1077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990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990</v>
      </c>
      <c r="E41" s="40" t="s">
        <v>134</v>
      </c>
      <c r="F41" s="6">
        <f>'пр.4.1.ведом.22-23'!G1079</f>
        <v>0</v>
      </c>
      <c r="G41" s="6">
        <f>'пр.4.1.ведом.22-23'!H1079</f>
        <v>0</v>
      </c>
    </row>
    <row r="42" spans="1:9" ht="47.25" hidden="1" x14ac:dyDescent="0.25">
      <c r="A42" s="25" t="s">
        <v>838</v>
      </c>
      <c r="B42" s="40" t="s">
        <v>118</v>
      </c>
      <c r="C42" s="40" t="s">
        <v>215</v>
      </c>
      <c r="D42" s="40" t="s">
        <v>988</v>
      </c>
      <c r="E42" s="40"/>
      <c r="F42" s="6">
        <f>'Пр.3 Рд,пр, ЦС,ВР 21'!F41</f>
        <v>52</v>
      </c>
      <c r="G42" s="6">
        <f t="shared" si="1"/>
        <v>52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988</v>
      </c>
      <c r="E43" s="40" t="s">
        <v>128</v>
      </c>
      <c r="F43" s="6">
        <f>'Пр.3 Рд,пр, ЦС,ВР 21'!F42</f>
        <v>52</v>
      </c>
      <c r="G43" s="6">
        <f t="shared" si="1"/>
        <v>52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988</v>
      </c>
      <c r="E44" s="40" t="s">
        <v>130</v>
      </c>
      <c r="F44" s="6">
        <f>'Пр.3 Рд,пр, ЦС,ВР 21'!F43</f>
        <v>52</v>
      </c>
      <c r="G44" s="6">
        <f t="shared" si="1"/>
        <v>52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56977.020000000004</v>
      </c>
      <c r="G45" s="4">
        <f>G46+G85</f>
        <v>43788.37</v>
      </c>
      <c r="H45" s="216">
        <f>'пр.4.1.ведом.22-23'!H490+'пр.4.1.ведом.22-23'!H52</f>
        <v>43788.369999999995</v>
      </c>
      <c r="I45" s="216">
        <f>H46-F45</f>
        <v>5218.18</v>
      </c>
    </row>
    <row r="46" spans="1:9" ht="31.5" x14ac:dyDescent="0.25">
      <c r="A46" s="23" t="s">
        <v>916</v>
      </c>
      <c r="B46" s="7" t="s">
        <v>118</v>
      </c>
      <c r="C46" s="7" t="s">
        <v>150</v>
      </c>
      <c r="D46" s="7" t="s">
        <v>857</v>
      </c>
      <c r="E46" s="7"/>
      <c r="F46" s="4">
        <f>F47+F63</f>
        <v>56293.520000000004</v>
      </c>
      <c r="G46" s="4">
        <f>G47+G63</f>
        <v>43104.87</v>
      </c>
      <c r="H46">
        <f>50028.3+12166.9</f>
        <v>62195.200000000004</v>
      </c>
    </row>
    <row r="47" spans="1:9" ht="15.75" x14ac:dyDescent="0.25">
      <c r="A47" s="23" t="s">
        <v>917</v>
      </c>
      <c r="B47" s="7" t="s">
        <v>118</v>
      </c>
      <c r="C47" s="7" t="s">
        <v>150</v>
      </c>
      <c r="D47" s="7" t="s">
        <v>858</v>
      </c>
      <c r="E47" s="7"/>
      <c r="F47" s="4">
        <f>F48+F57+F60</f>
        <v>52962.700000000004</v>
      </c>
      <c r="G47" s="4">
        <f>G48+G57+G60</f>
        <v>39989.520000000004</v>
      </c>
    </row>
    <row r="48" spans="1:9" ht="31.5" x14ac:dyDescent="0.25">
      <c r="A48" s="29" t="s">
        <v>896</v>
      </c>
      <c r="B48" s="40" t="s">
        <v>118</v>
      </c>
      <c r="C48" s="40" t="s">
        <v>150</v>
      </c>
      <c r="D48" s="40" t="s">
        <v>859</v>
      </c>
      <c r="E48" s="40"/>
      <c r="F48" s="6">
        <f>F49+F51+F53+F55</f>
        <v>48838.3</v>
      </c>
      <c r="G48" s="6">
        <f>G49+G51+G53+G55</f>
        <v>35865.120000000003</v>
      </c>
      <c r="H48" s="216">
        <f>'пр.4.1.ведом.22-23'!G55+'пр.4.1.ведом.22-23'!G493</f>
        <v>48838.299999999996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859</v>
      </c>
      <c r="E49" s="40" t="s">
        <v>128</v>
      </c>
      <c r="F49" s="6">
        <f>F50</f>
        <v>42632.9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859</v>
      </c>
      <c r="E50" s="40" t="s">
        <v>130</v>
      </c>
      <c r="F50" s="6">
        <f>'пр.4.1.ведом.22-23'!G495+'пр.4.1.ведом.22-23'!G57</f>
        <v>42632.9</v>
      </c>
      <c r="G50" s="6">
        <f>'пр.4.1.ведом.22-23'!H495+'пр.4.1.ведом.22-23'!H57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859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859</v>
      </c>
      <c r="E52" s="40" t="s">
        <v>134</v>
      </c>
      <c r="F52" s="6">
        <f>'пр.4.1.ведом.22-23'!G59+'пр.4.1.ведом.22-23'!G497</f>
        <v>5999.4</v>
      </c>
      <c r="G52" s="6">
        <f>'пр.4.1.ведом.22-23'!H59+'пр.4.1.ведом.22-23'!H497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859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859</v>
      </c>
      <c r="E54" s="40" t="s">
        <v>251</v>
      </c>
      <c r="F54" s="6">
        <f>'пр.4.1.ведом.22-23'!G61</f>
        <v>0</v>
      </c>
      <c r="G54" s="6">
        <f>'пр.4.1.ведом.22-23'!H61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859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859</v>
      </c>
      <c r="E56" s="40" t="s">
        <v>138</v>
      </c>
      <c r="F56" s="6">
        <f>'пр.4.1.ведом.22-23'!G63+'пр.4.1.ведом.22-23'!G499</f>
        <v>206</v>
      </c>
      <c r="G56" s="6">
        <f>'пр.4.1.ведом.22-23'!H63+'пр.4.1.ведом.22-23'!H499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860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860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860</v>
      </c>
      <c r="E59" s="20" t="s">
        <v>130</v>
      </c>
      <c r="F59" s="6">
        <f>'пр.4.1.ведом.22-23'!G66</f>
        <v>2071.4</v>
      </c>
      <c r="G59" s="6">
        <f>'пр.4.1.ведом.22-23'!H66</f>
        <v>2071.4</v>
      </c>
    </row>
    <row r="60" spans="1:9" ht="47.25" x14ac:dyDescent="0.25">
      <c r="A60" s="25" t="s">
        <v>838</v>
      </c>
      <c r="B60" s="40" t="s">
        <v>118</v>
      </c>
      <c r="C60" s="20" t="s">
        <v>150</v>
      </c>
      <c r="D60" s="40" t="s">
        <v>861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861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861</v>
      </c>
      <c r="E62" s="40" t="s">
        <v>130</v>
      </c>
      <c r="F62" s="6">
        <f>'пр.4.1.ведом.22-23'!G69+'пр.4.1.ведом.22-23'!G502</f>
        <v>2053</v>
      </c>
      <c r="G62" s="6">
        <f>'пр.4.1.ведом.22-23'!H69+'пр.4.1.ведом.22-23'!H502</f>
        <v>2053</v>
      </c>
      <c r="H62" s="216">
        <f>'пр.4.1.ведом.22-23'!G500+'пр.4.1.ведом.22-23'!G67</f>
        <v>2053</v>
      </c>
    </row>
    <row r="63" spans="1:9" ht="47.25" x14ac:dyDescent="0.25">
      <c r="A63" s="23" t="s">
        <v>884</v>
      </c>
      <c r="B63" s="7" t="s">
        <v>118</v>
      </c>
      <c r="C63" s="24" t="s">
        <v>150</v>
      </c>
      <c r="D63" s="7" t="s">
        <v>862</v>
      </c>
      <c r="E63" s="7"/>
      <c r="F63" s="4">
        <f>F64+F67+F72+F77+F82</f>
        <v>3330.8199999999997</v>
      </c>
      <c r="G63" s="4">
        <f>G64+G67+G72+G77+G82</f>
        <v>3115.3500000000004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1073</v>
      </c>
      <c r="E64" s="7"/>
      <c r="F64" s="6">
        <f>F65</f>
        <v>0</v>
      </c>
      <c r="G64" s="6">
        <f>G65</f>
        <v>0</v>
      </c>
      <c r="H64" s="216">
        <f>F64+F67+F72+F77+F82+F286+F342+F875</f>
        <v>7245.42</v>
      </c>
      <c r="I64" s="216">
        <f>G64+G67+G72+G77+G82+G286+G342+G875</f>
        <v>6996.5500000000011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1073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1073</v>
      </c>
      <c r="E66" s="40" t="s">
        <v>134</v>
      </c>
      <c r="F66" s="6">
        <f>'пр.4.1.ведом.22-23'!G73</f>
        <v>0</v>
      </c>
      <c r="G66" s="6">
        <f>'пр.4.1.ведом.22-23'!H73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919</v>
      </c>
      <c r="E67" s="40"/>
      <c r="F67" s="6">
        <f>F68+F70</f>
        <v>563.12</v>
      </c>
      <c r="G67" s="6">
        <f>G68+G70</f>
        <v>347.65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919</v>
      </c>
      <c r="E68" s="40" t="s">
        <v>128</v>
      </c>
      <c r="F68" s="6">
        <f>F69</f>
        <v>563.12</v>
      </c>
      <c r="G68" s="6">
        <f>G69</f>
        <v>347.65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919</v>
      </c>
      <c r="E69" s="40" t="s">
        <v>130</v>
      </c>
      <c r="F69" s="6">
        <f>'пр.4.1.ведом.22-23'!G76</f>
        <v>563.12</v>
      </c>
      <c r="G69" s="6">
        <f>'пр.4.1.ведом.22-23'!H76</f>
        <v>347.65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919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919</v>
      </c>
      <c r="E71" s="40" t="s">
        <v>134</v>
      </c>
      <c r="F71" s="6">
        <f>'пр.4.1.ведом.22-23'!G78</f>
        <v>0</v>
      </c>
      <c r="G71" s="6">
        <f>'пр.4.1.ведом.22-23'!H78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1028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1028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1028</v>
      </c>
      <c r="E74" s="40" t="s">
        <v>130</v>
      </c>
      <c r="F74" s="6">
        <f>'пр.4.1.ведом.22-23'!G81</f>
        <v>1372.1</v>
      </c>
      <c r="G74" s="6">
        <f>'пр.4.1.ведом.22-23'!H81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1028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1028</v>
      </c>
      <c r="E76" s="40" t="s">
        <v>134</v>
      </c>
      <c r="F76" s="6">
        <f>'пр.4.1.ведом.22-23'!G83</f>
        <v>39</v>
      </c>
      <c r="G76" s="6">
        <f>'пр.4.1.ведом.22-23'!H83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920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920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920</v>
      </c>
      <c r="E79" s="40" t="s">
        <v>130</v>
      </c>
      <c r="F79" s="6">
        <f>'пр.4.1.ведом.22-23'!G86</f>
        <v>1300.3</v>
      </c>
      <c r="G79" s="6">
        <f>'пр.4.1.ведом.22-23'!H86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920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920</v>
      </c>
      <c r="E81" s="40" t="s">
        <v>134</v>
      </c>
      <c r="F81" s="6">
        <f>'пр.4.1.ведом.22-23'!G88</f>
        <v>34</v>
      </c>
      <c r="G81" s="6">
        <f>'пр.4.1.ведом.22-23'!H88</f>
        <v>34</v>
      </c>
    </row>
    <row r="82" spans="1:7" s="191" customFormat="1" ht="94.5" x14ac:dyDescent="0.25">
      <c r="A82" s="31" t="s">
        <v>1167</v>
      </c>
      <c r="B82" s="20" t="s">
        <v>118</v>
      </c>
      <c r="C82" s="20" t="s">
        <v>150</v>
      </c>
      <c r="D82" s="20" t="s">
        <v>1166</v>
      </c>
      <c r="E82" s="20"/>
      <c r="F82" s="26">
        <f>F83</f>
        <v>22.3</v>
      </c>
      <c r="G82" s="26">
        <f>G83</f>
        <v>22.3</v>
      </c>
    </row>
    <row r="83" spans="1:7" s="191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1166</v>
      </c>
      <c r="E83" s="20" t="s">
        <v>128</v>
      </c>
      <c r="F83" s="26">
        <f>F84</f>
        <v>22.3</v>
      </c>
      <c r="G83" s="26">
        <f>G84</f>
        <v>22.3</v>
      </c>
    </row>
    <row r="84" spans="1:7" s="191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1166</v>
      </c>
      <c r="E84" s="20" t="s">
        <v>130</v>
      </c>
      <c r="F84" s="26">
        <f>'пр.4.1.ведом.22-23'!G506</f>
        <v>22.3</v>
      </c>
      <c r="G84" s="6">
        <f>'пр.4.1.ведом.22-23'!H506</f>
        <v>22.3</v>
      </c>
    </row>
    <row r="85" spans="1:7" ht="47.25" x14ac:dyDescent="0.25">
      <c r="A85" s="23" t="s">
        <v>1363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269" t="s">
        <v>1338</v>
      </c>
      <c r="B86" s="24" t="s">
        <v>118</v>
      </c>
      <c r="C86" s="24" t="s">
        <v>150</v>
      </c>
      <c r="D86" s="7" t="s">
        <v>848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1306</v>
      </c>
      <c r="B87" s="20" t="s">
        <v>118</v>
      </c>
      <c r="C87" s="20" t="s">
        <v>150</v>
      </c>
      <c r="D87" s="40" t="s">
        <v>840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840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840</v>
      </c>
      <c r="E89" s="20" t="s">
        <v>134</v>
      </c>
      <c r="F89" s="6">
        <f>'пр.4.1.ведом.22-23'!G93</f>
        <v>606</v>
      </c>
      <c r="G89" s="6">
        <f>'пр.4.1.ведом.22-23'!H93</f>
        <v>606</v>
      </c>
    </row>
    <row r="90" spans="1:7" ht="78.75" x14ac:dyDescent="0.25">
      <c r="A90" s="204" t="s">
        <v>842</v>
      </c>
      <c r="B90" s="24" t="s">
        <v>118</v>
      </c>
      <c r="C90" s="24" t="s">
        <v>150</v>
      </c>
      <c r="D90" s="7" t="s">
        <v>849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2" t="s">
        <v>165</v>
      </c>
      <c r="B91" s="20" t="s">
        <v>118</v>
      </c>
      <c r="C91" s="20" t="s">
        <v>150</v>
      </c>
      <c r="D91" s="40" t="s">
        <v>841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841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841</v>
      </c>
      <c r="E93" s="20" t="s">
        <v>130</v>
      </c>
      <c r="F93" s="6">
        <f>'пр.4.1.ведом.22-23'!G97</f>
        <v>37</v>
      </c>
      <c r="G93" s="6">
        <f>'пр.4.1.ведом.22-23'!H97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841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841</v>
      </c>
      <c r="E95" s="20" t="s">
        <v>134</v>
      </c>
      <c r="F95" s="6">
        <f>'пр.4.1.ведом.22-23'!G99</f>
        <v>40</v>
      </c>
      <c r="G95" s="6">
        <f>'пр.4.1.ведом.22-23'!H99</f>
        <v>40</v>
      </c>
    </row>
    <row r="96" spans="1:7" s="191" customFormat="1" ht="47.25" hidden="1" x14ac:dyDescent="0.25">
      <c r="A96" s="31" t="s">
        <v>1095</v>
      </c>
      <c r="B96" s="20" t="s">
        <v>118</v>
      </c>
      <c r="C96" s="20" t="s">
        <v>150</v>
      </c>
      <c r="D96" s="40" t="s">
        <v>992</v>
      </c>
      <c r="E96" s="20"/>
      <c r="F96" s="26">
        <f>F97</f>
        <v>0</v>
      </c>
      <c r="G96" s="26">
        <f>G97</f>
        <v>0</v>
      </c>
    </row>
    <row r="97" spans="1:8" s="191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992</v>
      </c>
      <c r="E97" s="20" t="s">
        <v>132</v>
      </c>
      <c r="F97" s="26">
        <f>F98</f>
        <v>0</v>
      </c>
      <c r="G97" s="26">
        <f>G98</f>
        <v>0</v>
      </c>
    </row>
    <row r="98" spans="1:8" s="191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'пр.4.1.ведом.22-23'!G102</f>
        <v>0</v>
      </c>
      <c r="G98" s="26">
        <f>'пр.4.1.ведом.22-23'!H102</f>
        <v>0</v>
      </c>
    </row>
    <row r="99" spans="1:8" s="191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991</v>
      </c>
      <c r="E99" s="20"/>
      <c r="F99" s="26">
        <f>F100</f>
        <v>0</v>
      </c>
      <c r="G99" s="26">
        <f>G100</f>
        <v>0</v>
      </c>
    </row>
    <row r="100" spans="1:8" s="191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991</v>
      </c>
      <c r="E100" s="20" t="s">
        <v>132</v>
      </c>
      <c r="F100" s="26">
        <f>F101</f>
        <v>0</v>
      </c>
      <c r="G100" s="26">
        <f>G101</f>
        <v>0</v>
      </c>
    </row>
    <row r="101" spans="1:8" s="191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991</v>
      </c>
      <c r="E101" s="20" t="s">
        <v>134</v>
      </c>
      <c r="F101" s="26">
        <f>'пр.4.1.ведом.22-23'!G105</f>
        <v>0</v>
      </c>
      <c r="G101" s="26">
        <f>'пр.4.1.ведом.22-23'!H105</f>
        <v>0</v>
      </c>
    </row>
    <row r="102" spans="1:8" ht="62.45" customHeight="1" x14ac:dyDescent="0.25">
      <c r="A102" s="205" t="s">
        <v>1002</v>
      </c>
      <c r="B102" s="24" t="s">
        <v>118</v>
      </c>
      <c r="C102" s="24" t="s">
        <v>150</v>
      </c>
      <c r="D102" s="7" t="s">
        <v>850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843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843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843</v>
      </c>
      <c r="E105" s="20" t="s">
        <v>134</v>
      </c>
      <c r="F105" s="6">
        <f>'пр.4.1.ведом.22-23'!G109</f>
        <v>0.5</v>
      </c>
      <c r="G105" s="6">
        <f>'пр.4.1.ведом.22-23'!H109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16">
        <f>'пр.4.1.ведом.22-23'!H113+'пр.4.1.ведом.22-23'!H12+'пр.4.1.ведом.22-23'!H1083</f>
        <v>16636.7</v>
      </c>
    </row>
    <row r="107" spans="1:8" ht="31.5" x14ac:dyDescent="0.25">
      <c r="A107" s="23" t="s">
        <v>916</v>
      </c>
      <c r="B107" s="7" t="s">
        <v>118</v>
      </c>
      <c r="C107" s="7" t="s">
        <v>120</v>
      </c>
      <c r="D107" s="7" t="s">
        <v>857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985</v>
      </c>
      <c r="B108" s="7" t="s">
        <v>118</v>
      </c>
      <c r="C108" s="7" t="s">
        <v>120</v>
      </c>
      <c r="D108" s="7" t="s">
        <v>986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896</v>
      </c>
      <c r="B109" s="20" t="s">
        <v>118</v>
      </c>
      <c r="C109" s="20" t="s">
        <v>120</v>
      </c>
      <c r="D109" s="20" t="s">
        <v>990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990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990</v>
      </c>
      <c r="E111" s="20" t="s">
        <v>130</v>
      </c>
      <c r="F111" s="6">
        <f>'пр.4.1.ведом.22-23'!G1088</f>
        <v>1734.5</v>
      </c>
      <c r="G111" s="6">
        <f>'пр.4.1.ведом.22-23'!H1088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990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990</v>
      </c>
      <c r="E113" s="20" t="s">
        <v>134</v>
      </c>
      <c r="F113" s="6">
        <f>'пр.4.1.ведом.22-23'!G1090</f>
        <v>18</v>
      </c>
      <c r="G113" s="6">
        <f>'пр.4.1.ведом.22-23'!H1090</f>
        <v>18</v>
      </c>
    </row>
    <row r="114" spans="1:7" ht="47.25" x14ac:dyDescent="0.25">
      <c r="A114" s="25" t="s">
        <v>838</v>
      </c>
      <c r="B114" s="20" t="s">
        <v>118</v>
      </c>
      <c r="C114" s="20" t="s">
        <v>120</v>
      </c>
      <c r="D114" s="20" t="s">
        <v>988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988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988</v>
      </c>
      <c r="E116" s="20" t="s">
        <v>130</v>
      </c>
      <c r="F116" s="6">
        <f>'пр.4.1.ведом.22-23'!G1093</f>
        <v>46</v>
      </c>
      <c r="G116" s="6">
        <f>'пр.4.1.ведом.22-23'!H1093</f>
        <v>46</v>
      </c>
    </row>
    <row r="117" spans="1:7" ht="15.75" x14ac:dyDescent="0.25">
      <c r="A117" s="23" t="s">
        <v>917</v>
      </c>
      <c r="B117" s="7" t="s">
        <v>118</v>
      </c>
      <c r="C117" s="7" t="s">
        <v>120</v>
      </c>
      <c r="D117" s="7" t="s">
        <v>858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896</v>
      </c>
      <c r="B118" s="40" t="s">
        <v>118</v>
      </c>
      <c r="C118" s="40" t="s">
        <v>120</v>
      </c>
      <c r="D118" s="40" t="s">
        <v>859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859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859</v>
      </c>
      <c r="E120" s="40" t="s">
        <v>130</v>
      </c>
      <c r="F120" s="6">
        <f>'пр.4.1.ведом.22-23'!G118+'пр.4.1.ведом.22-23'!G17</f>
        <v>13367.2</v>
      </c>
      <c r="G120" s="6">
        <f>'пр.4.1.ведом.22-23'!H118+'пр.4.1.ведом.22-23'!H17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859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859</v>
      </c>
      <c r="E122" s="40" t="s">
        <v>134</v>
      </c>
      <c r="F122" s="6">
        <f>'пр.4.1.ведом.22-23'!G19</f>
        <v>977</v>
      </c>
      <c r="G122" s="6">
        <f>'пр.4.1.ведом.22-23'!H19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859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859</v>
      </c>
      <c r="E124" s="40" t="s">
        <v>138</v>
      </c>
      <c r="F124" s="6">
        <f>'пр.4.1.ведом.22-23'!G21</f>
        <v>28</v>
      </c>
      <c r="G124" s="6">
        <f>'пр.4.1.ведом.22-23'!H21</f>
        <v>28</v>
      </c>
    </row>
    <row r="125" spans="1:7" ht="47.25" x14ac:dyDescent="0.25">
      <c r="A125" s="25" t="s">
        <v>838</v>
      </c>
      <c r="B125" s="20" t="s">
        <v>118</v>
      </c>
      <c r="C125" s="20" t="s">
        <v>120</v>
      </c>
      <c r="D125" s="20" t="s">
        <v>861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861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861</v>
      </c>
      <c r="E127" s="20" t="s">
        <v>130</v>
      </c>
      <c r="F127" s="6">
        <f>'пр.4.1.ведом.22-23'!G24+'пр.4.1.ведом.22-23'!G121</f>
        <v>466</v>
      </c>
      <c r="G127" s="6">
        <f>'пр.4.1.ведом.22-23'!H24+'пр.4.1.ведом.22-23'!H121</f>
        <v>466</v>
      </c>
    </row>
    <row r="128" spans="1:7" s="191" customFormat="1" ht="15.75" hidden="1" customHeight="1" x14ac:dyDescent="0.25">
      <c r="A128" s="23" t="s">
        <v>1145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191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865</v>
      </c>
      <c r="E129" s="20"/>
      <c r="F129" s="21">
        <f t="shared" si="6"/>
        <v>0</v>
      </c>
      <c r="G129" s="21">
        <f t="shared" si="6"/>
        <v>0</v>
      </c>
    </row>
    <row r="130" spans="1:8" s="191" customFormat="1" ht="31.7" hidden="1" customHeight="1" x14ac:dyDescent="0.25">
      <c r="A130" s="23" t="s">
        <v>869</v>
      </c>
      <c r="B130" s="24" t="s">
        <v>118</v>
      </c>
      <c r="C130" s="24" t="s">
        <v>264</v>
      </c>
      <c r="D130" s="24" t="s">
        <v>864</v>
      </c>
      <c r="E130" s="20"/>
      <c r="F130" s="21">
        <f t="shared" si="6"/>
        <v>0</v>
      </c>
      <c r="G130" s="21">
        <f t="shared" si="6"/>
        <v>0</v>
      </c>
    </row>
    <row r="131" spans="1:8" s="191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1144</v>
      </c>
      <c r="E131" s="20"/>
      <c r="F131" s="26">
        <f>F132+F134</f>
        <v>0</v>
      </c>
      <c r="G131" s="26">
        <f>G132+G134</f>
        <v>0</v>
      </c>
    </row>
    <row r="132" spans="1:8" s="191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1144</v>
      </c>
      <c r="E132" s="20" t="s">
        <v>128</v>
      </c>
      <c r="F132" s="26">
        <f>F133</f>
        <v>0</v>
      </c>
      <c r="G132" s="26">
        <f>G133</f>
        <v>0</v>
      </c>
    </row>
    <row r="133" spans="1:8" s="191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1144</v>
      </c>
      <c r="E133" s="20" t="s">
        <v>130</v>
      </c>
      <c r="F133" s="26">
        <f>'пр.4.1.ведом.22-23'!G127</f>
        <v>0</v>
      </c>
      <c r="G133" s="26">
        <f>'пр.4.1.ведом.22-23'!H127</f>
        <v>0</v>
      </c>
    </row>
    <row r="134" spans="1:8" s="191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1144</v>
      </c>
      <c r="E134" s="20" t="s">
        <v>132</v>
      </c>
      <c r="F134" s="26">
        <f>F135</f>
        <v>0</v>
      </c>
      <c r="G134" s="26">
        <f>G135</f>
        <v>0</v>
      </c>
    </row>
    <row r="135" spans="1:8" s="191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1144</v>
      </c>
      <c r="E135" s="20" t="s">
        <v>134</v>
      </c>
      <c r="F135" s="26">
        <f>'пр.4.1.ведом.22-23'!G129</f>
        <v>0</v>
      </c>
      <c r="G135" s="26">
        <f>'пр.4.1.ведом.22-23'!H129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865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953</v>
      </c>
      <c r="B138" s="24" t="s">
        <v>118</v>
      </c>
      <c r="C138" s="24" t="s">
        <v>140</v>
      </c>
      <c r="D138" s="24" t="s">
        <v>952</v>
      </c>
      <c r="E138" s="24"/>
      <c r="F138" s="333">
        <f>F142+F139</f>
        <v>41282.100000000006</v>
      </c>
      <c r="G138" s="333">
        <f>G142+G139</f>
        <v>41282.100000000006</v>
      </c>
    </row>
    <row r="139" spans="1:8" ht="47.25" x14ac:dyDescent="0.25">
      <c r="A139" s="25" t="s">
        <v>838</v>
      </c>
      <c r="B139" s="20" t="s">
        <v>118</v>
      </c>
      <c r="C139" s="20" t="s">
        <v>140</v>
      </c>
      <c r="D139" s="20" t="s">
        <v>955</v>
      </c>
      <c r="E139" s="20"/>
      <c r="F139" s="6">
        <f>F140</f>
        <v>1072</v>
      </c>
      <c r="G139" s="6">
        <f>G140</f>
        <v>1072</v>
      </c>
      <c r="H139" s="216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955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955</v>
      </c>
      <c r="E141" s="20" t="s">
        <v>209</v>
      </c>
      <c r="F141" s="6">
        <f>'пр.4.1.ведом.22-23'!G838</f>
        <v>1072</v>
      </c>
      <c r="G141" s="6">
        <f>'пр.4.1.ведом.22-23'!H838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954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954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954</v>
      </c>
      <c r="E144" s="20" t="s">
        <v>209</v>
      </c>
      <c r="F144" s="6">
        <f>'пр.4.1.ведом.22-23'!G841</f>
        <v>32825.800000000003</v>
      </c>
      <c r="G144" s="6">
        <f>'пр.4.1.ведом.22-23'!H841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954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954</v>
      </c>
      <c r="E146" s="20" t="s">
        <v>134</v>
      </c>
      <c r="F146" s="6">
        <f>'пр.4.1.ведом.22-23'!G843</f>
        <v>6963.3</v>
      </c>
      <c r="G146" s="6">
        <f>'пр.4.1.ведом.22-23'!H843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954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954</v>
      </c>
      <c r="E148" s="20" t="s">
        <v>138</v>
      </c>
      <c r="F148" s="6">
        <f>'пр.4.1.ведом.22-23'!G845</f>
        <v>421</v>
      </c>
      <c r="G148" s="6">
        <f>'пр.4.1.ведом.22-23'!H845</f>
        <v>421</v>
      </c>
    </row>
    <row r="149" spans="1:8" ht="31.5" x14ac:dyDescent="0.25">
      <c r="A149" s="23" t="s">
        <v>869</v>
      </c>
      <c r="B149" s="24" t="s">
        <v>118</v>
      </c>
      <c r="C149" s="24" t="s">
        <v>140</v>
      </c>
      <c r="D149" s="24" t="s">
        <v>864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1010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1010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1010</v>
      </c>
      <c r="E152" s="20" t="s">
        <v>134</v>
      </c>
      <c r="F152" s="6">
        <f>'пр.4.1.ведом.22-23'!G512</f>
        <v>5202.1000000000004</v>
      </c>
      <c r="G152" s="6">
        <f>'пр.4.1.ведом.22-23'!H512</f>
        <v>5202.1000000000004</v>
      </c>
    </row>
    <row r="153" spans="1:8" ht="47.25" hidden="1" x14ac:dyDescent="0.25">
      <c r="A153" s="25" t="s">
        <v>930</v>
      </c>
      <c r="B153" s="20" t="s">
        <v>118</v>
      </c>
      <c r="C153" s="20" t="s">
        <v>140</v>
      </c>
      <c r="D153" s="20" t="s">
        <v>1011</v>
      </c>
      <c r="E153" s="20"/>
      <c r="F153" s="6">
        <f>'Пр.3 Рд,пр, ЦС,ВР 21'!F187</f>
        <v>5000</v>
      </c>
      <c r="G153" s="6">
        <f t="shared" ref="G153:G154" si="7">F153</f>
        <v>5000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1011</v>
      </c>
      <c r="E154" s="20" t="s">
        <v>132</v>
      </c>
      <c r="F154" s="6">
        <f>'Пр.3 Рд,пр, ЦС,ВР 21'!F188</f>
        <v>5000</v>
      </c>
      <c r="G154" s="6">
        <f t="shared" si="7"/>
        <v>5000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1011</v>
      </c>
      <c r="E155" s="20" t="s">
        <v>134</v>
      </c>
      <c r="F155" s="6">
        <f>'Пр.3 Рд,пр, ЦС,ВР 21'!F189</f>
        <v>5000</v>
      </c>
      <c r="G155" s="6">
        <f t="shared" ref="G155:G202" si="8">F155</f>
        <v>5000</v>
      </c>
    </row>
    <row r="156" spans="1:8" s="191" customFormat="1" ht="15.75" hidden="1" x14ac:dyDescent="0.25">
      <c r="A156" s="25" t="s">
        <v>1135</v>
      </c>
      <c r="B156" s="20" t="s">
        <v>118</v>
      </c>
      <c r="C156" s="20" t="s">
        <v>140</v>
      </c>
      <c r="D156" s="20" t="s">
        <v>1136</v>
      </c>
      <c r="E156" s="20"/>
      <c r="F156" s="26">
        <f>F157</f>
        <v>0</v>
      </c>
      <c r="G156" s="26">
        <f>G157</f>
        <v>0</v>
      </c>
    </row>
    <row r="157" spans="1:8" s="191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1136</v>
      </c>
      <c r="E157" s="20" t="s">
        <v>145</v>
      </c>
      <c r="F157" s="26">
        <f>F158</f>
        <v>0</v>
      </c>
      <c r="G157" s="26">
        <f>G158</f>
        <v>0</v>
      </c>
    </row>
    <row r="158" spans="1:8" s="191" customFormat="1" ht="15.75" hidden="1" x14ac:dyDescent="0.25">
      <c r="A158" s="25" t="s">
        <v>1135</v>
      </c>
      <c r="B158" s="20" t="s">
        <v>118</v>
      </c>
      <c r="C158" s="20" t="s">
        <v>140</v>
      </c>
      <c r="D158" s="20" t="s">
        <v>1136</v>
      </c>
      <c r="E158" s="20" t="s">
        <v>1137</v>
      </c>
      <c r="F158" s="26">
        <f>'пр.4.1.ведом.22-23'!G30</f>
        <v>0</v>
      </c>
      <c r="G158" s="26">
        <f>'пр.4.1.ведом.22-23'!H30</f>
        <v>0</v>
      </c>
    </row>
    <row r="159" spans="1:8" ht="31.5" x14ac:dyDescent="0.25">
      <c r="A159" s="23" t="s">
        <v>921</v>
      </c>
      <c r="B159" s="24" t="s">
        <v>118</v>
      </c>
      <c r="C159" s="24" t="s">
        <v>140</v>
      </c>
      <c r="D159" s="24" t="s">
        <v>866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927</v>
      </c>
      <c r="B160" s="20" t="s">
        <v>118</v>
      </c>
      <c r="C160" s="20" t="s">
        <v>140</v>
      </c>
      <c r="D160" s="20" t="s">
        <v>867</v>
      </c>
      <c r="E160" s="20"/>
      <c r="F160" s="6">
        <f>F161+F163</f>
        <v>5701</v>
      </c>
      <c r="G160" s="6">
        <f>G161+G163</f>
        <v>5701</v>
      </c>
      <c r="H160" s="216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867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867</v>
      </c>
      <c r="E162" s="20" t="s">
        <v>209</v>
      </c>
      <c r="F162" s="6">
        <f>'пр.4.1.ведом.22-23'!G135</f>
        <v>4501</v>
      </c>
      <c r="G162" s="6">
        <f>'пр.4.1.ведом.22-23'!H135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867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867</v>
      </c>
      <c r="E164" s="20" t="s">
        <v>134</v>
      </c>
      <c r="F164" s="6">
        <f>'пр.4.1.ведом.22-23'!G137</f>
        <v>1200</v>
      </c>
      <c r="G164" s="6">
        <f>'пр.4.1.ведом.22-23'!H137</f>
        <v>1200</v>
      </c>
    </row>
    <row r="165" spans="1:7" ht="47.25" x14ac:dyDescent="0.25">
      <c r="A165" s="25" t="s">
        <v>838</v>
      </c>
      <c r="B165" s="20" t="s">
        <v>118</v>
      </c>
      <c r="C165" s="20" t="s">
        <v>140</v>
      </c>
      <c r="D165" s="20" t="s">
        <v>868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868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868</v>
      </c>
      <c r="E167" s="20" t="s">
        <v>209</v>
      </c>
      <c r="F167" s="6">
        <f>'пр.4.1.ведом.22-23'!G140</f>
        <v>128</v>
      </c>
      <c r="G167" s="6">
        <f>'пр.4.1.ведом.22-23'!H140</f>
        <v>128</v>
      </c>
    </row>
    <row r="168" spans="1:7" ht="47.25" x14ac:dyDescent="0.25">
      <c r="A168" s="23" t="s">
        <v>1371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1378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32" t="s">
        <v>1045</v>
      </c>
      <c r="B170" s="7" t="s">
        <v>118</v>
      </c>
      <c r="C170" s="7" t="s">
        <v>140</v>
      </c>
      <c r="D170" s="7" t="s">
        <v>908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1096</v>
      </c>
      <c r="B171" s="40" t="s">
        <v>118</v>
      </c>
      <c r="C171" s="40" t="s">
        <v>140</v>
      </c>
      <c r="D171" s="40" t="s">
        <v>1196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1196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1196</v>
      </c>
      <c r="E173" s="40" t="s">
        <v>134</v>
      </c>
      <c r="F173" s="6">
        <f>'пр.4.1.ведом.22-23'!G250</f>
        <v>200</v>
      </c>
      <c r="G173" s="6">
        <f>'пр.4.1.ведом.22-23'!H250</f>
        <v>500</v>
      </c>
    </row>
    <row r="174" spans="1:7" ht="47.25" hidden="1" x14ac:dyDescent="0.25">
      <c r="A174" s="35" t="s">
        <v>885</v>
      </c>
      <c r="B174" s="20" t="s">
        <v>118</v>
      </c>
      <c r="C174" s="20" t="s">
        <v>140</v>
      </c>
      <c r="D174" s="20" t="s">
        <v>1295</v>
      </c>
      <c r="E174" s="24"/>
      <c r="F174" s="6" t="e">
        <f>'Пр.3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1295</v>
      </c>
      <c r="E175" s="20" t="s">
        <v>132</v>
      </c>
      <c r="F175" s="6" t="e">
        <f>'Пр.3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1295</v>
      </c>
      <c r="E176" s="20" t="s">
        <v>134</v>
      </c>
      <c r="F176" s="6" t="e">
        <f>'Пр.3 Рд,пр, ЦС,ВР 21'!#REF!</f>
        <v>#REF!</v>
      </c>
      <c r="G176" s="6" t="e">
        <f t="shared" si="8"/>
        <v>#REF!</v>
      </c>
    </row>
    <row r="177" spans="1:7" s="191" customFormat="1" ht="63" x14ac:dyDescent="0.25">
      <c r="A177" s="34" t="s">
        <v>1218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191" customFormat="1" ht="63" x14ac:dyDescent="0.25">
      <c r="A178" s="34" t="s">
        <v>1024</v>
      </c>
      <c r="B178" s="24" t="s">
        <v>118</v>
      </c>
      <c r="C178" s="24" t="s">
        <v>140</v>
      </c>
      <c r="D178" s="24" t="s">
        <v>933</v>
      </c>
      <c r="E178" s="24"/>
      <c r="F178" s="21">
        <f>F181</f>
        <v>12</v>
      </c>
      <c r="G178" s="21">
        <f>G181</f>
        <v>40</v>
      </c>
    </row>
    <row r="179" spans="1:7" s="191" customFormat="1" ht="47.25" x14ac:dyDescent="0.25">
      <c r="A179" s="31" t="s">
        <v>1081</v>
      </c>
      <c r="B179" s="20" t="s">
        <v>118</v>
      </c>
      <c r="C179" s="20" t="s">
        <v>140</v>
      </c>
      <c r="D179" s="20" t="s">
        <v>1025</v>
      </c>
      <c r="E179" s="20"/>
      <c r="F179" s="26">
        <f>F180</f>
        <v>12</v>
      </c>
      <c r="G179" s="26">
        <f>G180</f>
        <v>40</v>
      </c>
    </row>
    <row r="180" spans="1:7" s="191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1025</v>
      </c>
      <c r="E180" s="20" t="s">
        <v>132</v>
      </c>
      <c r="F180" s="26">
        <f>F181</f>
        <v>12</v>
      </c>
      <c r="G180" s="26">
        <f>G181</f>
        <v>40</v>
      </c>
    </row>
    <row r="181" spans="1:7" s="191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1025</v>
      </c>
      <c r="E181" s="20" t="s">
        <v>134</v>
      </c>
      <c r="F181" s="26">
        <f>'пр.4.1.ведом.22-23'!G145</f>
        <v>12</v>
      </c>
      <c r="G181" s="26">
        <f>'пр.4.1.ведом.22-23'!H145</f>
        <v>40</v>
      </c>
    </row>
    <row r="182" spans="1:7" ht="47.25" x14ac:dyDescent="0.25">
      <c r="A182" s="23" t="s">
        <v>1354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1050</v>
      </c>
      <c r="B183" s="24" t="s">
        <v>118</v>
      </c>
      <c r="C183" s="24" t="s">
        <v>140</v>
      </c>
      <c r="D183" s="24" t="s">
        <v>1051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1052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1052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1052</v>
      </c>
      <c r="E186" s="20" t="s">
        <v>134</v>
      </c>
      <c r="F186" s="6">
        <f>'пр.4.1.ведом.22-23'!G763+'пр.4.1.ведом.22-23'!G544+'пр.4.1.ведом.22-23'!G255</f>
        <v>100</v>
      </c>
      <c r="G186" s="6">
        <f>'пр.4.1.ведом.22-23'!H763+'пр.4.1.ведом.22-23'!H544+'пр.4.1.ведом.22-23'!H255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1053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1053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1053</v>
      </c>
      <c r="E189" s="20" t="s">
        <v>134</v>
      </c>
      <c r="F189" s="6">
        <f>'пр.4.1.ведом.22-23'!G264</f>
        <v>20</v>
      </c>
      <c r="G189" s="6">
        <f>'пр.4.1.ведом.22-23'!H264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1054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1054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1054</v>
      </c>
      <c r="E192" s="20" t="s">
        <v>134</v>
      </c>
      <c r="F192" s="6">
        <f>'пр.4.1.ведом.22-23'!G258</f>
        <v>0</v>
      </c>
      <c r="G192" s="6">
        <f>'пр.4.1.ведом.22-23'!H258</f>
        <v>0</v>
      </c>
    </row>
    <row r="193" spans="1:7" ht="31.5" hidden="1" x14ac:dyDescent="0.25">
      <c r="A193" s="25" t="s">
        <v>993</v>
      </c>
      <c r="B193" s="20" t="s">
        <v>118</v>
      </c>
      <c r="C193" s="20" t="s">
        <v>140</v>
      </c>
      <c r="D193" s="20" t="s">
        <v>1055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1055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1055</v>
      </c>
      <c r="E195" s="20" t="s">
        <v>134</v>
      </c>
      <c r="F195" s="6">
        <f>'пр.4.1.ведом.22-23'!G261</f>
        <v>0</v>
      </c>
      <c r="G195" s="6">
        <f>'пр.4.1.ведом.22-23'!H261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1056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1056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1056</v>
      </c>
      <c r="E198" s="20" t="s">
        <v>134</v>
      </c>
      <c r="F198" s="6">
        <f>'пр.4.1.ведом.22-23'!G267</f>
        <v>0</v>
      </c>
      <c r="G198" s="6">
        <f>'пр.4.1.ведом.22-23'!H267</f>
        <v>0</v>
      </c>
    </row>
    <row r="199" spans="1:7" ht="57.2" customHeight="1" x14ac:dyDescent="0.25">
      <c r="A199" s="41" t="s">
        <v>1351</v>
      </c>
      <c r="B199" s="8" t="s">
        <v>118</v>
      </c>
      <c r="C199" s="8" t="s">
        <v>140</v>
      </c>
      <c r="D199" s="24" t="s">
        <v>705</v>
      </c>
      <c r="E199" s="206"/>
      <c r="F199" s="59">
        <f>F200+F204</f>
        <v>48</v>
      </c>
      <c r="G199" s="59">
        <f>G200+G204</f>
        <v>48</v>
      </c>
    </row>
    <row r="200" spans="1:7" ht="47.25" x14ac:dyDescent="0.25">
      <c r="A200" s="195" t="s">
        <v>845</v>
      </c>
      <c r="B200" s="24" t="s">
        <v>118</v>
      </c>
      <c r="C200" s="24" t="s">
        <v>140</v>
      </c>
      <c r="D200" s="24" t="s">
        <v>851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846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846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846</v>
      </c>
      <c r="E203" s="20" t="s">
        <v>134</v>
      </c>
      <c r="F203" s="6">
        <f>'пр.4.1.ведом.22-23'!G150+'пр.4.1.ведом.22-23'!G272</f>
        <v>33</v>
      </c>
      <c r="G203" s="6">
        <f>'пр.4.1.ведом.22-23'!H150+'пр.4.1.ведом.22-23'!H272</f>
        <v>33</v>
      </c>
    </row>
    <row r="204" spans="1:7" ht="47.25" x14ac:dyDescent="0.25">
      <c r="A204" s="196" t="s">
        <v>1022</v>
      </c>
      <c r="B204" s="24" t="s">
        <v>118</v>
      </c>
      <c r="C204" s="24" t="s">
        <v>140</v>
      </c>
      <c r="D204" s="24" t="s">
        <v>852</v>
      </c>
      <c r="E204" s="206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847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847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847</v>
      </c>
      <c r="E207" s="32" t="s">
        <v>134</v>
      </c>
      <c r="F207" s="6">
        <f>'пр.4.1.ведом.22-23'!G154</f>
        <v>15</v>
      </c>
      <c r="G207" s="6">
        <f>'пр.4.1.ведом.22-23'!H154</f>
        <v>15</v>
      </c>
    </row>
    <row r="208" spans="1:7" ht="63" hidden="1" x14ac:dyDescent="0.25">
      <c r="A208" s="201" t="s">
        <v>1379</v>
      </c>
      <c r="B208" s="24" t="s">
        <v>118</v>
      </c>
      <c r="C208" s="24" t="s">
        <v>140</v>
      </c>
      <c r="D208" s="24" t="s">
        <v>782</v>
      </c>
      <c r="E208" s="206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929</v>
      </c>
      <c r="B209" s="24" t="s">
        <v>118</v>
      </c>
      <c r="C209" s="24" t="s">
        <v>140</v>
      </c>
      <c r="D209" s="24" t="s">
        <v>1019</v>
      </c>
      <c r="E209" s="206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0" t="s">
        <v>790</v>
      </c>
      <c r="B210" s="20" t="s">
        <v>118</v>
      </c>
      <c r="C210" s="20" t="s">
        <v>140</v>
      </c>
      <c r="D210" s="20" t="s">
        <v>1020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0" t="s">
        <v>131</v>
      </c>
      <c r="B211" s="20" t="s">
        <v>118</v>
      </c>
      <c r="C211" s="20" t="s">
        <v>140</v>
      </c>
      <c r="D211" s="20" t="s">
        <v>1020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0" t="s">
        <v>133</v>
      </c>
      <c r="B212" s="20" t="s">
        <v>118</v>
      </c>
      <c r="C212" s="20" t="s">
        <v>140</v>
      </c>
      <c r="D212" s="20" t="s">
        <v>1020</v>
      </c>
      <c r="E212" s="32" t="s">
        <v>134</v>
      </c>
      <c r="F212" s="6">
        <f>'пр.4.1.ведом.22-23'!G520</f>
        <v>0</v>
      </c>
      <c r="G212" s="6">
        <f>'пр.4.1.ведом.22-23'!H520</f>
        <v>0</v>
      </c>
    </row>
    <row r="213" spans="1:7" ht="78.75" x14ac:dyDescent="0.25">
      <c r="A213" s="41" t="s">
        <v>1341</v>
      </c>
      <c r="B213" s="8" t="s">
        <v>118</v>
      </c>
      <c r="C213" s="8" t="s">
        <v>140</v>
      </c>
      <c r="D213" s="308" t="s">
        <v>816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197" t="s">
        <v>853</v>
      </c>
      <c r="B214" s="8" t="s">
        <v>118</v>
      </c>
      <c r="C214" s="8" t="s">
        <v>140</v>
      </c>
      <c r="D214" s="187" t="s">
        <v>1076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854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854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854</v>
      </c>
      <c r="E217" s="9" t="s">
        <v>134</v>
      </c>
      <c r="F217" s="6">
        <f>'пр.4.1.ведом.22-23'!G159</f>
        <v>45</v>
      </c>
      <c r="G217" s="6">
        <f>'пр.4.1.ведом.22-23'!H159</f>
        <v>50</v>
      </c>
    </row>
    <row r="218" spans="1:7" ht="62.45" customHeight="1" x14ac:dyDescent="0.25">
      <c r="A218" s="41" t="s">
        <v>1342</v>
      </c>
      <c r="B218" s="8" t="s">
        <v>118</v>
      </c>
      <c r="C218" s="8" t="s">
        <v>140</v>
      </c>
      <c r="D218" s="187" t="s">
        <v>817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855</v>
      </c>
      <c r="B219" s="8" t="s">
        <v>118</v>
      </c>
      <c r="C219" s="8" t="s">
        <v>140</v>
      </c>
      <c r="D219" s="187" t="s">
        <v>863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821</v>
      </c>
      <c r="B220" s="9" t="s">
        <v>118</v>
      </c>
      <c r="C220" s="9" t="s">
        <v>140</v>
      </c>
      <c r="D220" s="5" t="s">
        <v>856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856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856</v>
      </c>
      <c r="E222" s="9" t="s">
        <v>134</v>
      </c>
      <c r="F222" s="6">
        <f>'пр.4.1.ведом.22-23'!G164</f>
        <v>80</v>
      </c>
      <c r="G222" s="6">
        <f>'пр.4.1.ведом.22-23'!H164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865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869</v>
      </c>
      <c r="B226" s="24" t="s">
        <v>213</v>
      </c>
      <c r="C226" s="24" t="s">
        <v>219</v>
      </c>
      <c r="D226" s="24" t="s">
        <v>864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870</v>
      </c>
      <c r="E227" s="20"/>
      <c r="F227" s="6">
        <f>'Пр.3 Рд,пр, ЦС,ВР 21'!F256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870</v>
      </c>
      <c r="E228" s="20" t="s">
        <v>132</v>
      </c>
      <c r="F228" s="6">
        <f>'Пр.3 Рд,пр, ЦС,ВР 21'!F257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870</v>
      </c>
      <c r="E229" s="20" t="s">
        <v>134</v>
      </c>
      <c r="F229" s="6">
        <f>'Пр.3 Рд,пр, ЦС,ВР 21'!F258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1344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865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869</v>
      </c>
      <c r="B233" s="24" t="s">
        <v>215</v>
      </c>
      <c r="C233" s="24" t="s">
        <v>244</v>
      </c>
      <c r="D233" s="24" t="s">
        <v>864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874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874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874</v>
      </c>
      <c r="E236" s="20" t="s">
        <v>134</v>
      </c>
      <c r="F236" s="6">
        <f>'пр.4.1.ведом.22-23'!G178</f>
        <v>1785</v>
      </c>
      <c r="G236" s="6">
        <f>'пр.4.1.ведом.22-23'!H178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875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875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875</v>
      </c>
      <c r="E239" s="20" t="s">
        <v>134</v>
      </c>
      <c r="F239" s="6">
        <f>'пр.4.1.ведом.22-23'!G181+'пр.4.1.ведом.22-23'!G852</f>
        <v>304</v>
      </c>
      <c r="G239" s="6">
        <f>'пр.4.1.ведом.22-23'!H181+'пр.4.1.ведом.22-23'!H852</f>
        <v>304</v>
      </c>
    </row>
    <row r="240" spans="1:7" ht="47.25" x14ac:dyDescent="0.25">
      <c r="A240" s="23" t="s">
        <v>922</v>
      </c>
      <c r="B240" s="24" t="s">
        <v>215</v>
      </c>
      <c r="C240" s="24" t="s">
        <v>244</v>
      </c>
      <c r="D240" s="24" t="s">
        <v>871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926</v>
      </c>
      <c r="B241" s="20" t="s">
        <v>215</v>
      </c>
      <c r="C241" s="20" t="s">
        <v>244</v>
      </c>
      <c r="D241" s="20" t="s">
        <v>872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872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872</v>
      </c>
      <c r="E243" s="20" t="s">
        <v>209</v>
      </c>
      <c r="F243" s="6">
        <f>'пр.4.1.ведом.22-23'!G185</f>
        <v>5693.1</v>
      </c>
      <c r="G243" s="6">
        <f>'пр.4.1.ведом.22-23'!H185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872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872</v>
      </c>
      <c r="E245" s="20" t="s">
        <v>134</v>
      </c>
      <c r="F245" s="6">
        <f>'пр.4.1.ведом.22-23'!G187</f>
        <v>163</v>
      </c>
      <c r="G245" s="6">
        <f>'пр.4.1.ведом.22-23'!H187</f>
        <v>163</v>
      </c>
    </row>
    <row r="246" spans="1:9" ht="47.25" x14ac:dyDescent="0.25">
      <c r="A246" s="25" t="s">
        <v>838</v>
      </c>
      <c r="B246" s="20" t="s">
        <v>215</v>
      </c>
      <c r="C246" s="20" t="s">
        <v>244</v>
      </c>
      <c r="D246" s="20" t="s">
        <v>873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873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873</v>
      </c>
      <c r="E248" s="20" t="s">
        <v>130</v>
      </c>
      <c r="F248" s="6">
        <f>'пр.4.1.ведом.22-23'!G190</f>
        <v>252</v>
      </c>
      <c r="G248" s="6">
        <f>'пр.4.1.ведом.22-23'!H190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6333.8</v>
      </c>
      <c r="G249" s="4">
        <f>G263+G269+G283+G250</f>
        <v>6165.9000000000005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1380</v>
      </c>
      <c r="B251" s="24" t="s">
        <v>150</v>
      </c>
      <c r="C251" s="24" t="s">
        <v>234</v>
      </c>
      <c r="D251" s="187" t="s">
        <v>182</v>
      </c>
      <c r="E251" s="206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1005</v>
      </c>
      <c r="B252" s="24" t="s">
        <v>150</v>
      </c>
      <c r="C252" s="24" t="s">
        <v>234</v>
      </c>
      <c r="D252" s="233" t="s">
        <v>876</v>
      </c>
      <c r="E252" s="206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897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897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897</v>
      </c>
      <c r="E255" s="32" t="s">
        <v>160</v>
      </c>
      <c r="F255" s="6">
        <f>'пр.4.1.ведом.22-23'!G197</f>
        <v>274</v>
      </c>
      <c r="G255" s="6">
        <f>'пр.4.1.ведом.22-23'!H197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879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879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879</v>
      </c>
      <c r="E258" s="20" t="s">
        <v>160</v>
      </c>
      <c r="F258" s="6">
        <f>'пр.4.1.ведом.22-23'!G200</f>
        <v>0</v>
      </c>
      <c r="G258" s="6">
        <f>'пр.4.1.ведом.22-23'!H200</f>
        <v>0</v>
      </c>
    </row>
    <row r="259" spans="1:7" ht="47.25" hidden="1" x14ac:dyDescent="0.25">
      <c r="A259" s="198" t="s">
        <v>1006</v>
      </c>
      <c r="B259" s="24" t="s">
        <v>150</v>
      </c>
      <c r="C259" s="24" t="s">
        <v>234</v>
      </c>
      <c r="D259" s="187" t="s">
        <v>878</v>
      </c>
      <c r="E259" s="206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877</v>
      </c>
      <c r="B260" s="20" t="s">
        <v>150</v>
      </c>
      <c r="C260" s="20" t="s">
        <v>234</v>
      </c>
      <c r="D260" s="5" t="s">
        <v>898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898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898</v>
      </c>
      <c r="E262" s="32" t="s">
        <v>160</v>
      </c>
      <c r="F262" s="6">
        <f>'пр.4.1.ведом.22-23'!G204</f>
        <v>0</v>
      </c>
      <c r="G262" s="6">
        <f>'пр.4.1.ведом.22-23'!H204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865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869</v>
      </c>
      <c r="B265" s="24" t="s">
        <v>150</v>
      </c>
      <c r="C265" s="24" t="s">
        <v>299</v>
      </c>
      <c r="D265" s="24" t="s">
        <v>864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956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956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956</v>
      </c>
      <c r="E268" s="20" t="s">
        <v>134</v>
      </c>
      <c r="F268" s="6">
        <f>'пр.4.1.ведом.22-23'!G859</f>
        <v>3258</v>
      </c>
      <c r="G268" s="6">
        <f>'пр.4.1.ведом.22-23'!H859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2127.6</v>
      </c>
      <c r="G269" s="4">
        <f t="shared" si="20"/>
        <v>1949.1</v>
      </c>
    </row>
    <row r="270" spans="1:7" ht="47.25" x14ac:dyDescent="0.25">
      <c r="A270" s="34" t="s">
        <v>1369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2127.6</v>
      </c>
      <c r="G270" s="59">
        <f>G271+G275</f>
        <v>1949.1</v>
      </c>
    </row>
    <row r="271" spans="1:7" ht="31.5" hidden="1" x14ac:dyDescent="0.25">
      <c r="A271" s="34" t="s">
        <v>998</v>
      </c>
      <c r="B271" s="24" t="s">
        <v>150</v>
      </c>
      <c r="C271" s="24" t="s">
        <v>219</v>
      </c>
      <c r="D271" s="7" t="s">
        <v>957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1000</v>
      </c>
      <c r="B272" s="20" t="s">
        <v>150</v>
      </c>
      <c r="C272" s="20" t="s">
        <v>219</v>
      </c>
      <c r="D272" s="40" t="s">
        <v>999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999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999</v>
      </c>
      <c r="E274" s="20" t="s">
        <v>134</v>
      </c>
      <c r="F274" s="6">
        <f>'пр.4.1.ведом.22-23'!G865</f>
        <v>0</v>
      </c>
      <c r="G274" s="6">
        <f>'пр.4.1.ведом.22-23'!H865</f>
        <v>0</v>
      </c>
    </row>
    <row r="275" spans="1:7" ht="47.25" x14ac:dyDescent="0.25">
      <c r="A275" s="34" t="s">
        <v>1061</v>
      </c>
      <c r="B275" s="24" t="s">
        <v>150</v>
      </c>
      <c r="C275" s="24" t="s">
        <v>219</v>
      </c>
      <c r="D275" s="24" t="s">
        <v>958</v>
      </c>
      <c r="E275" s="24"/>
      <c r="F275" s="333">
        <f t="shared" ref="F275:G279" si="22">F276</f>
        <v>2127.6</v>
      </c>
      <c r="G275" s="333">
        <f t="shared" si="22"/>
        <v>1949.1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1001</v>
      </c>
      <c r="E276" s="20"/>
      <c r="F276" s="6">
        <f>F279+F277</f>
        <v>2127.6</v>
      </c>
      <c r="G276" s="6">
        <f>G279+G277</f>
        <v>1949.1</v>
      </c>
    </row>
    <row r="277" spans="1:7" s="191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1001</v>
      </c>
      <c r="E277" s="20" t="s">
        <v>128</v>
      </c>
      <c r="F277" s="26">
        <f>F278</f>
        <v>1807</v>
      </c>
      <c r="G277" s="26">
        <f>G278</f>
        <v>1807</v>
      </c>
    </row>
    <row r="278" spans="1:7" s="191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1001</v>
      </c>
      <c r="E278" s="20" t="s">
        <v>209</v>
      </c>
      <c r="F278" s="26">
        <f>'пр.4.1.ведом.22-23'!G869</f>
        <v>1807</v>
      </c>
      <c r="G278" s="26">
        <f>'пр.4.1.ведом.22-23'!H869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1001</v>
      </c>
      <c r="E279" s="20" t="s">
        <v>132</v>
      </c>
      <c r="F279" s="6">
        <f t="shared" si="22"/>
        <v>320.60000000000002</v>
      </c>
      <c r="G279" s="6">
        <f t="shared" si="22"/>
        <v>142.10000000000002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1001</v>
      </c>
      <c r="E280" s="20" t="s">
        <v>134</v>
      </c>
      <c r="F280" s="6">
        <f>'пр.4.1.ведом.22-23'!G871</f>
        <v>320.60000000000002</v>
      </c>
      <c r="G280" s="6">
        <f>'пр.4.1.ведом.22-23'!H871</f>
        <v>142.10000000000002</v>
      </c>
    </row>
    <row r="281" spans="1:7" ht="15.75" hidden="1" x14ac:dyDescent="0.25">
      <c r="A281" s="25" t="s">
        <v>135</v>
      </c>
      <c r="B281" s="20" t="s">
        <v>150</v>
      </c>
      <c r="C281" s="20" t="s">
        <v>219</v>
      </c>
      <c r="D281" s="40" t="s">
        <v>1001</v>
      </c>
      <c r="E281" s="20" t="s">
        <v>145</v>
      </c>
      <c r="F281" s="6">
        <f>'Пр.3 Рд,пр, ЦС,ВР 21'!F318</f>
        <v>0</v>
      </c>
      <c r="G281" s="6">
        <f t="shared" si="15"/>
        <v>0</v>
      </c>
    </row>
    <row r="282" spans="1:7" ht="15.75" hidden="1" x14ac:dyDescent="0.25">
      <c r="A282" s="25" t="s">
        <v>568</v>
      </c>
      <c r="B282" s="20" t="s">
        <v>150</v>
      </c>
      <c r="C282" s="20" t="s">
        <v>219</v>
      </c>
      <c r="D282" s="40" t="s">
        <v>1001</v>
      </c>
      <c r="E282" s="20" t="s">
        <v>138</v>
      </c>
      <c r="F282" s="6">
        <f>'Пр.3 Рд,пр, ЦС,ВР 21'!F319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916</v>
      </c>
      <c r="B284" s="24" t="s">
        <v>150</v>
      </c>
      <c r="C284" s="24" t="s">
        <v>238</v>
      </c>
      <c r="D284" s="24" t="s">
        <v>857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884</v>
      </c>
      <c r="B285" s="24" t="s">
        <v>150</v>
      </c>
      <c r="C285" s="24" t="s">
        <v>238</v>
      </c>
      <c r="D285" s="24" t="s">
        <v>862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923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923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923</v>
      </c>
      <c r="E288" s="20" t="s">
        <v>130</v>
      </c>
      <c r="F288" s="6">
        <f>'пр.4.1.ведом.22-23'!G210</f>
        <v>205.8</v>
      </c>
      <c r="G288" s="6">
        <f>'пр.4.1.ведом.22-23'!H210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923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923</v>
      </c>
      <c r="E290" s="20" t="s">
        <v>134</v>
      </c>
      <c r="F290" s="6">
        <f>'пр.4.1.ведом.22-23'!G212</f>
        <v>58.4</v>
      </c>
      <c r="G290" s="6">
        <f>'пр.4.1.ведом.22-23'!H212</f>
        <v>69</v>
      </c>
    </row>
    <row r="291" spans="1:7" ht="47.25" x14ac:dyDescent="0.25">
      <c r="A291" s="23" t="s">
        <v>1371</v>
      </c>
      <c r="B291" s="24" t="s">
        <v>150</v>
      </c>
      <c r="C291" s="24" t="s">
        <v>238</v>
      </c>
      <c r="D291" s="24" t="s">
        <v>344</v>
      </c>
      <c r="E291" s="206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199" t="s">
        <v>1043</v>
      </c>
      <c r="B293" s="24" t="s">
        <v>150</v>
      </c>
      <c r="C293" s="24" t="s">
        <v>238</v>
      </c>
      <c r="D293" s="24" t="s">
        <v>906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1314</v>
      </c>
      <c r="E294" s="20"/>
      <c r="F294" s="6">
        <f>'Пр.3 Рд,пр, ЦС,ВР 21'!F331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1314</v>
      </c>
      <c r="E295" s="20" t="s">
        <v>249</v>
      </c>
      <c r="F295" s="6">
        <f>'Пр.3 Рд,пр, ЦС,ВР 21'!F332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1314</v>
      </c>
      <c r="E296" s="20" t="s">
        <v>251</v>
      </c>
      <c r="F296" s="6">
        <f>'Пр.3 Рд,пр, ЦС,ВР 21'!F333</f>
        <v>0</v>
      </c>
      <c r="G296" s="6">
        <f t="shared" si="23"/>
        <v>0</v>
      </c>
    </row>
    <row r="297" spans="1:7" ht="47.25" x14ac:dyDescent="0.25">
      <c r="A297" s="23" t="s">
        <v>1041</v>
      </c>
      <c r="B297" s="24" t="s">
        <v>150</v>
      </c>
      <c r="C297" s="24" t="s">
        <v>238</v>
      </c>
      <c r="D297" s="24" t="s">
        <v>1197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1485</v>
      </c>
      <c r="B298" s="20" t="s">
        <v>150</v>
      </c>
      <c r="C298" s="20" t="s">
        <v>238</v>
      </c>
      <c r="D298" s="20" t="s">
        <v>1198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1198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1198</v>
      </c>
      <c r="E300" s="20" t="s">
        <v>160</v>
      </c>
      <c r="F300" s="6">
        <f>'пр.4.1.ведом.22-23'!G284</f>
        <v>260</v>
      </c>
      <c r="G300" s="6">
        <f>'пр.4.1.ведом.22-23'!H284</f>
        <v>260</v>
      </c>
    </row>
    <row r="301" spans="1:7" ht="31.5" hidden="1" x14ac:dyDescent="0.25">
      <c r="A301" s="23" t="s">
        <v>994</v>
      </c>
      <c r="B301" s="24" t="s">
        <v>150</v>
      </c>
      <c r="C301" s="24" t="s">
        <v>238</v>
      </c>
      <c r="D301" s="24" t="s">
        <v>1307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34" t="s">
        <v>1044</v>
      </c>
      <c r="B302" s="20" t="s">
        <v>150</v>
      </c>
      <c r="C302" s="20" t="s">
        <v>238</v>
      </c>
      <c r="D302" s="20" t="s">
        <v>1308</v>
      </c>
      <c r="E302" s="20"/>
      <c r="F302" s="6">
        <f>'Пр.3 Рд,пр, ЦС,ВР 21'!F339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1308</v>
      </c>
      <c r="E303" s="20" t="s">
        <v>132</v>
      </c>
      <c r="F303" s="6">
        <f>'Пр.3 Рд,пр, ЦС,ВР 21'!F340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1308</v>
      </c>
      <c r="E304" s="20" t="s">
        <v>134</v>
      </c>
      <c r="F304" s="6">
        <f>'Пр.3 Рд,пр, ЦС,ВР 21'!F341</f>
        <v>0</v>
      </c>
      <c r="G304" s="6">
        <f t="shared" si="23"/>
        <v>0</v>
      </c>
    </row>
    <row r="305" spans="1:9" s="191" customFormat="1" ht="47.25" hidden="1" x14ac:dyDescent="0.25">
      <c r="A305" s="196" t="s">
        <v>1103</v>
      </c>
      <c r="B305" s="24" t="s">
        <v>150</v>
      </c>
      <c r="C305" s="24" t="s">
        <v>238</v>
      </c>
      <c r="D305" s="24" t="s">
        <v>1199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191" customFormat="1" ht="31.5" hidden="1" x14ac:dyDescent="0.25">
      <c r="A306" s="215" t="s">
        <v>1104</v>
      </c>
      <c r="B306" s="20" t="s">
        <v>150</v>
      </c>
      <c r="C306" s="20" t="s">
        <v>238</v>
      </c>
      <c r="D306" s="20" t="s">
        <v>1200</v>
      </c>
      <c r="E306" s="20"/>
      <c r="F306" s="26">
        <f t="shared" si="25"/>
        <v>0</v>
      </c>
      <c r="G306" s="6">
        <f t="shared" si="25"/>
        <v>0</v>
      </c>
    </row>
    <row r="307" spans="1:9" s="191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1200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191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1200</v>
      </c>
      <c r="E308" s="20" t="s">
        <v>134</v>
      </c>
      <c r="F308" s="26">
        <f>'пр.4.1.ведом.22-23'!G292</f>
        <v>0</v>
      </c>
      <c r="G308" s="6">
        <f>'пр.4.1.ведом.22-23'!H292</f>
        <v>0</v>
      </c>
    </row>
    <row r="309" spans="1:9" ht="47.25" x14ac:dyDescent="0.25">
      <c r="A309" s="23" t="s">
        <v>1335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1065</v>
      </c>
      <c r="B310" s="24" t="s">
        <v>150</v>
      </c>
      <c r="C310" s="24" t="s">
        <v>238</v>
      </c>
      <c r="D310" s="24" t="s">
        <v>1062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1066</v>
      </c>
      <c r="B311" s="20" t="s">
        <v>150</v>
      </c>
      <c r="C311" s="20" t="s">
        <v>238</v>
      </c>
      <c r="D311" s="20" t="s">
        <v>1063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1063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1063</v>
      </c>
      <c r="E313" s="20" t="s">
        <v>160</v>
      </c>
      <c r="F313" s="6">
        <f>'пр.4.1.ведом.22-23'!G217</f>
        <v>150</v>
      </c>
      <c r="G313" s="6">
        <f>'пр.4.1.ведом.22-23'!H217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39509</v>
      </c>
      <c r="G314" s="4">
        <f>G315++G329+G393+G443</f>
        <v>47933.850000000006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6060.4</v>
      </c>
      <c r="G315" s="4">
        <f t="shared" si="27"/>
        <v>6060.4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865</v>
      </c>
      <c r="E316" s="24"/>
      <c r="F316" s="4">
        <f t="shared" si="27"/>
        <v>6060.4</v>
      </c>
      <c r="G316" s="4">
        <f t="shared" si="27"/>
        <v>6060.4</v>
      </c>
    </row>
    <row r="317" spans="1:9" ht="31.5" x14ac:dyDescent="0.25">
      <c r="A317" s="23" t="s">
        <v>869</v>
      </c>
      <c r="B317" s="24" t="s">
        <v>234</v>
      </c>
      <c r="C317" s="24" t="s">
        <v>118</v>
      </c>
      <c r="D317" s="24" t="s">
        <v>864</v>
      </c>
      <c r="E317" s="24"/>
      <c r="F317" s="4">
        <f>F318+F323+F326</f>
        <v>6060.4</v>
      </c>
      <c r="G317" s="4">
        <f>G318+G323+G326</f>
        <v>6060.4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959</v>
      </c>
      <c r="E318" s="24"/>
      <c r="F318" s="6">
        <f>F319</f>
        <v>0</v>
      </c>
      <c r="G318" s="6">
        <f t="shared" si="23"/>
        <v>0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959</v>
      </c>
      <c r="E319" s="20" t="s">
        <v>132</v>
      </c>
      <c r="F319" s="6">
        <f>F320</f>
        <v>0</v>
      </c>
      <c r="G319" s="6">
        <f t="shared" si="23"/>
        <v>0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959</v>
      </c>
      <c r="E320" s="20" t="s">
        <v>134</v>
      </c>
      <c r="F320" s="6">
        <f>F321</f>
        <v>0</v>
      </c>
      <c r="G320" s="6">
        <f t="shared" si="23"/>
        <v>0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959</v>
      </c>
      <c r="E321" s="20" t="s">
        <v>145</v>
      </c>
      <c r="F321" s="6">
        <f>'Пр.3 Рд,пр, ЦС,ВР 21'!F358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959</v>
      </c>
      <c r="E322" s="20" t="s">
        <v>160</v>
      </c>
      <c r="F322" s="6">
        <f>'Пр.3 Рд,пр, ЦС,ВР 21'!F359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960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960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960</v>
      </c>
      <c r="E325" s="20" t="s">
        <v>134</v>
      </c>
      <c r="F325" s="6">
        <f>'пр.4.1.ведом.22-23'!G885+'пр.4.1.ведом.22-23'!G527</f>
        <v>4920.3999999999996</v>
      </c>
      <c r="G325" s="6">
        <f>'пр.4.1.ведом.22-23'!H885+'пр.4.1.ведом.22-23'!H527</f>
        <v>4920.3999999999996</v>
      </c>
    </row>
    <row r="326" spans="1:7" ht="47.25" x14ac:dyDescent="0.25">
      <c r="A326" s="29" t="s">
        <v>931</v>
      </c>
      <c r="B326" s="20" t="s">
        <v>234</v>
      </c>
      <c r="C326" s="20" t="s">
        <v>118</v>
      </c>
      <c r="D326" s="20" t="s">
        <v>961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961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961</v>
      </c>
      <c r="E328" s="20" t="s">
        <v>134</v>
      </c>
      <c r="F328" s="6">
        <f>'пр.4.1.ведом.22-23'!G530+'пр.4.1.ведом.22-23'!G888</f>
        <v>1140</v>
      </c>
      <c r="G328" s="6">
        <f>'пр.4.1.ведом.22-23'!H530+'пр.4.1.ведом.22-23'!H888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4334.0999999999985</v>
      </c>
      <c r="G329" s="4">
        <f>G359+G330+G388</f>
        <v>12505.950000000003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865</v>
      </c>
      <c r="E330" s="24"/>
      <c r="F330" s="4">
        <f>F331+F342</f>
        <v>3430.0999999999981</v>
      </c>
      <c r="G330" s="4">
        <f>G331+G342</f>
        <v>11590.950000000003</v>
      </c>
    </row>
    <row r="331" spans="1:7" ht="31.5" x14ac:dyDescent="0.25">
      <c r="A331" s="23" t="s">
        <v>869</v>
      </c>
      <c r="B331" s="24" t="s">
        <v>234</v>
      </c>
      <c r="C331" s="24" t="s">
        <v>213</v>
      </c>
      <c r="D331" s="24" t="s">
        <v>864</v>
      </c>
      <c r="E331" s="24"/>
      <c r="F331" s="4">
        <f>F332+F337</f>
        <v>3430.0999999999981</v>
      </c>
      <c r="G331" s="4">
        <f>G332+G337</f>
        <v>11590.950000000003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978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978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978</v>
      </c>
      <c r="E334" s="20" t="s">
        <v>134</v>
      </c>
      <c r="F334" s="6">
        <f>'пр.4.1.ведом.22-23'!G894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978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978</v>
      </c>
      <c r="E336" s="20" t="s">
        <v>160</v>
      </c>
      <c r="F336" s="6">
        <f>'пр.4.1.ведом.22-23'!G896</f>
        <v>0</v>
      </c>
      <c r="G336" s="6">
        <f t="shared" si="23"/>
        <v>0</v>
      </c>
    </row>
    <row r="337" spans="1:10" ht="47.25" x14ac:dyDescent="0.25">
      <c r="A337" s="29" t="s">
        <v>931</v>
      </c>
      <c r="B337" s="20" t="s">
        <v>234</v>
      </c>
      <c r="C337" s="20" t="s">
        <v>213</v>
      </c>
      <c r="D337" s="20" t="s">
        <v>961</v>
      </c>
      <c r="E337" s="20"/>
      <c r="F337" s="6">
        <f>F338</f>
        <v>3430.0999999999981</v>
      </c>
      <c r="G337" s="6">
        <f>G338</f>
        <v>11590.950000000003</v>
      </c>
    </row>
    <row r="338" spans="1:10" ht="31.5" x14ac:dyDescent="0.25">
      <c r="A338" s="25" t="s">
        <v>131</v>
      </c>
      <c r="B338" s="20" t="s">
        <v>234</v>
      </c>
      <c r="C338" s="20" t="s">
        <v>213</v>
      </c>
      <c r="D338" s="20" t="s">
        <v>961</v>
      </c>
      <c r="E338" s="20" t="s">
        <v>132</v>
      </c>
      <c r="F338" s="6">
        <f>F339</f>
        <v>3430.0999999999981</v>
      </c>
      <c r="G338" s="6">
        <f>G339</f>
        <v>11590.950000000003</v>
      </c>
    </row>
    <row r="339" spans="1:10" ht="47.25" x14ac:dyDescent="0.25">
      <c r="A339" s="25" t="s">
        <v>133</v>
      </c>
      <c r="B339" s="20" t="s">
        <v>234</v>
      </c>
      <c r="C339" s="20" t="s">
        <v>213</v>
      </c>
      <c r="D339" s="20" t="s">
        <v>961</v>
      </c>
      <c r="E339" s="20" t="s">
        <v>134</v>
      </c>
      <c r="F339" s="6">
        <f>'пр.4.1.ведом.22-23'!G899</f>
        <v>3430.0999999999981</v>
      </c>
      <c r="G339" s="389">
        <f>'пр.4.1.ведом.22-23'!H899</f>
        <v>11590.950000000003</v>
      </c>
      <c r="H339" s="389">
        <f>'пр.4.1.ведом.22-23'!I899</f>
        <v>0</v>
      </c>
      <c r="I339" s="389">
        <f>'пр.4.1.ведом.22-23'!J899</f>
        <v>0</v>
      </c>
      <c r="J339" s="389">
        <f>'пр.4.1.ведом.22-23'!K899</f>
        <v>0</v>
      </c>
    </row>
    <row r="340" spans="1:10" ht="15.75" x14ac:dyDescent="0.25">
      <c r="A340" s="25" t="s">
        <v>135</v>
      </c>
      <c r="B340" s="20" t="s">
        <v>234</v>
      </c>
      <c r="C340" s="20" t="s">
        <v>213</v>
      </c>
      <c r="D340" s="20" t="s">
        <v>961</v>
      </c>
      <c r="E340" s="20" t="s">
        <v>145</v>
      </c>
      <c r="F340" s="6">
        <f>'Пр.3 Рд,пр, ЦС,ВР 21'!F381</f>
        <v>50</v>
      </c>
      <c r="G340" s="6">
        <f t="shared" si="23"/>
        <v>50</v>
      </c>
    </row>
    <row r="341" spans="1:10" ht="15.75" x14ac:dyDescent="0.25">
      <c r="A341" s="25" t="s">
        <v>146</v>
      </c>
      <c r="B341" s="20" t="s">
        <v>234</v>
      </c>
      <c r="C341" s="20" t="s">
        <v>213</v>
      </c>
      <c r="D341" s="20" t="s">
        <v>961</v>
      </c>
      <c r="E341" s="20" t="s">
        <v>147</v>
      </c>
      <c r="F341" s="6">
        <f>'Пр.3 Рд,пр, ЦС,ВР 21'!F382</f>
        <v>50</v>
      </c>
      <c r="G341" s="6">
        <f t="shared" si="23"/>
        <v>50</v>
      </c>
    </row>
    <row r="342" spans="1:10" ht="63" hidden="1" x14ac:dyDescent="0.25">
      <c r="A342" s="23" t="s">
        <v>1012</v>
      </c>
      <c r="B342" s="24" t="s">
        <v>234</v>
      </c>
      <c r="C342" s="24" t="s">
        <v>213</v>
      </c>
      <c r="D342" s="24" t="s">
        <v>979</v>
      </c>
      <c r="E342" s="24"/>
      <c r="F342" s="4">
        <f>F343+F348+F351+F356</f>
        <v>0</v>
      </c>
      <c r="G342" s="4">
        <f>G343+G348+G351+G356</f>
        <v>0</v>
      </c>
    </row>
    <row r="343" spans="1:10" ht="47.25" hidden="1" x14ac:dyDescent="0.25">
      <c r="A343" s="25" t="s">
        <v>826</v>
      </c>
      <c r="B343" s="20" t="s">
        <v>234</v>
      </c>
      <c r="C343" s="20" t="s">
        <v>213</v>
      </c>
      <c r="D343" s="20" t="s">
        <v>980</v>
      </c>
      <c r="E343" s="20"/>
      <c r="F343" s="6">
        <f>F344</f>
        <v>0</v>
      </c>
      <c r="G343" s="6">
        <f t="shared" ref="G343:G387" si="28">F343</f>
        <v>0</v>
      </c>
    </row>
    <row r="344" spans="1:10" ht="31.5" hidden="1" x14ac:dyDescent="0.25">
      <c r="A344" s="25" t="s">
        <v>131</v>
      </c>
      <c r="B344" s="20" t="s">
        <v>234</v>
      </c>
      <c r="C344" s="20" t="s">
        <v>213</v>
      </c>
      <c r="D344" s="20" t="s">
        <v>980</v>
      </c>
      <c r="E344" s="20" t="s">
        <v>132</v>
      </c>
      <c r="F344" s="6">
        <f>F345</f>
        <v>0</v>
      </c>
      <c r="G344" s="6">
        <f t="shared" si="28"/>
        <v>0</v>
      </c>
    </row>
    <row r="345" spans="1:10" ht="47.25" hidden="1" x14ac:dyDescent="0.25">
      <c r="A345" s="25" t="s">
        <v>133</v>
      </c>
      <c r="B345" s="20" t="s">
        <v>234</v>
      </c>
      <c r="C345" s="20" t="s">
        <v>213</v>
      </c>
      <c r="D345" s="20" t="s">
        <v>980</v>
      </c>
      <c r="E345" s="20" t="s">
        <v>134</v>
      </c>
      <c r="F345" s="6">
        <v>0</v>
      </c>
      <c r="G345" s="6">
        <f t="shared" si="28"/>
        <v>0</v>
      </c>
    </row>
    <row r="346" spans="1:10" ht="15.75" hidden="1" x14ac:dyDescent="0.25">
      <c r="A346" s="25" t="s">
        <v>135</v>
      </c>
      <c r="B346" s="20" t="s">
        <v>234</v>
      </c>
      <c r="C346" s="20" t="s">
        <v>213</v>
      </c>
      <c r="D346" s="20" t="s">
        <v>980</v>
      </c>
      <c r="E346" s="20" t="s">
        <v>836</v>
      </c>
      <c r="F346" s="6">
        <f>'Пр.3 Рд,пр, ЦС,ВР 21'!F387</f>
        <v>0</v>
      </c>
      <c r="G346" s="6">
        <f t="shared" si="28"/>
        <v>0</v>
      </c>
    </row>
    <row r="347" spans="1:10" ht="15.75" hidden="1" x14ac:dyDescent="0.25">
      <c r="A347" s="25" t="s">
        <v>568</v>
      </c>
      <c r="B347" s="20" t="s">
        <v>234</v>
      </c>
      <c r="C347" s="20" t="s">
        <v>213</v>
      </c>
      <c r="D347" s="20" t="s">
        <v>980</v>
      </c>
      <c r="E347" s="20" t="s">
        <v>1068</v>
      </c>
      <c r="F347" s="6">
        <f>'Пр.3 Рд,пр, ЦС,ВР 21'!F388</f>
        <v>0</v>
      </c>
      <c r="G347" s="6">
        <f t="shared" si="28"/>
        <v>0</v>
      </c>
    </row>
    <row r="348" spans="1:10" ht="63" hidden="1" x14ac:dyDescent="0.25">
      <c r="A348" s="25" t="s">
        <v>793</v>
      </c>
      <c r="B348" s="20" t="s">
        <v>234</v>
      </c>
      <c r="C348" s="20" t="s">
        <v>213</v>
      </c>
      <c r="D348" s="20" t="s">
        <v>981</v>
      </c>
      <c r="E348" s="20"/>
      <c r="F348" s="6">
        <f>'Пр.3 Рд,пр, ЦС,ВР 21'!F389</f>
        <v>0</v>
      </c>
      <c r="G348" s="6">
        <f t="shared" si="28"/>
        <v>0</v>
      </c>
    </row>
    <row r="349" spans="1:10" ht="31.5" hidden="1" x14ac:dyDescent="0.25">
      <c r="A349" s="25" t="s">
        <v>131</v>
      </c>
      <c r="B349" s="20" t="s">
        <v>234</v>
      </c>
      <c r="C349" s="20" t="s">
        <v>213</v>
      </c>
      <c r="D349" s="20" t="s">
        <v>981</v>
      </c>
      <c r="E349" s="20" t="s">
        <v>132</v>
      </c>
      <c r="F349" s="6">
        <f>'Пр.3 Рд,пр, ЦС,ВР 21'!F390</f>
        <v>0</v>
      </c>
      <c r="G349" s="6">
        <f t="shared" si="28"/>
        <v>0</v>
      </c>
    </row>
    <row r="350" spans="1:10" ht="47.25" hidden="1" x14ac:dyDescent="0.25">
      <c r="A350" s="25" t="s">
        <v>133</v>
      </c>
      <c r="B350" s="20" t="s">
        <v>234</v>
      </c>
      <c r="C350" s="20" t="s">
        <v>213</v>
      </c>
      <c r="D350" s="20" t="s">
        <v>981</v>
      </c>
      <c r="E350" s="20" t="s">
        <v>134</v>
      </c>
      <c r="F350" s="6">
        <f>'Пр.3 Рд,пр, ЦС,ВР 21'!F391</f>
        <v>0</v>
      </c>
      <c r="G350" s="6">
        <f t="shared" si="28"/>
        <v>0</v>
      </c>
    </row>
    <row r="351" spans="1:10" ht="47.25" hidden="1" x14ac:dyDescent="0.25">
      <c r="A351" s="97" t="s">
        <v>832</v>
      </c>
      <c r="B351" s="20" t="s">
        <v>234</v>
      </c>
      <c r="C351" s="20" t="s">
        <v>213</v>
      </c>
      <c r="D351" s="20" t="s">
        <v>982</v>
      </c>
      <c r="E351" s="20"/>
      <c r="F351" s="6">
        <f>'Пр.3 Рд,пр, ЦС,ВР 21'!F392</f>
        <v>0</v>
      </c>
      <c r="G351" s="6">
        <f t="shared" si="28"/>
        <v>0</v>
      </c>
    </row>
    <row r="352" spans="1:10" ht="47.25" hidden="1" x14ac:dyDescent="0.25">
      <c r="A352" s="25" t="s">
        <v>837</v>
      </c>
      <c r="B352" s="20" t="s">
        <v>234</v>
      </c>
      <c r="C352" s="20" t="s">
        <v>213</v>
      </c>
      <c r="D352" s="20" t="s">
        <v>982</v>
      </c>
      <c r="E352" s="20" t="s">
        <v>836</v>
      </c>
      <c r="F352" s="6">
        <f>'Пр.3 Рд,пр, ЦС,ВР 21'!F393</f>
        <v>0</v>
      </c>
      <c r="G352" s="6">
        <f t="shared" si="28"/>
        <v>0</v>
      </c>
    </row>
    <row r="353" spans="1:7" ht="63" hidden="1" x14ac:dyDescent="0.25">
      <c r="A353" s="25" t="s">
        <v>1049</v>
      </c>
      <c r="B353" s="20" t="s">
        <v>234</v>
      </c>
      <c r="C353" s="20" t="s">
        <v>213</v>
      </c>
      <c r="D353" s="20" t="s">
        <v>982</v>
      </c>
      <c r="E353" s="20" t="s">
        <v>1068</v>
      </c>
      <c r="F353" s="6">
        <f>'Пр.3 Рд,пр, ЦС,ВР 21'!F394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982</v>
      </c>
      <c r="E354" s="20" t="s">
        <v>145</v>
      </c>
      <c r="F354" s="6">
        <f>'Пр.3 Рд,пр, ЦС,ВР 21'!F395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982</v>
      </c>
      <c r="E355" s="20" t="s">
        <v>138</v>
      </c>
      <c r="F355" s="6">
        <f>'Пр.3 Рд,пр, ЦС,ВР 21'!F396</f>
        <v>0</v>
      </c>
      <c r="G355" s="6">
        <f t="shared" si="28"/>
        <v>0</v>
      </c>
    </row>
    <row r="356" spans="1:7" ht="31.5" hidden="1" x14ac:dyDescent="0.25">
      <c r="A356" s="25" t="s">
        <v>1069</v>
      </c>
      <c r="B356" s="20" t="s">
        <v>234</v>
      </c>
      <c r="C356" s="20" t="s">
        <v>213</v>
      </c>
      <c r="D356" s="20" t="s">
        <v>1070</v>
      </c>
      <c r="E356" s="20"/>
      <c r="F356" s="6">
        <f>'Пр.3 Рд,пр, ЦС,ВР 21'!F397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1070</v>
      </c>
      <c r="E357" s="20" t="s">
        <v>132</v>
      </c>
      <c r="F357" s="6">
        <f>'Пр.3 Рд,пр, ЦС,ВР 21'!F398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1070</v>
      </c>
      <c r="E358" s="20" t="s">
        <v>134</v>
      </c>
      <c r="F358" s="6">
        <f>'Пр.3 Рд,пр, ЦС,ВР 21'!F399</f>
        <v>0</v>
      </c>
      <c r="G358" s="6">
        <f t="shared" si="28"/>
        <v>0</v>
      </c>
    </row>
    <row r="359" spans="1:7" ht="63" x14ac:dyDescent="0.25">
      <c r="A359" s="23" t="s">
        <v>1510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700</v>
      </c>
      <c r="G359" s="4">
        <f>G360+G364+G368+G372+G376+G380+G384</f>
        <v>700</v>
      </c>
    </row>
    <row r="360" spans="1:7" ht="31.5" x14ac:dyDescent="0.25">
      <c r="A360" s="23" t="s">
        <v>962</v>
      </c>
      <c r="B360" s="24" t="s">
        <v>234</v>
      </c>
      <c r="C360" s="24" t="s">
        <v>213</v>
      </c>
      <c r="D360" s="24" t="s">
        <v>964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963</v>
      </c>
      <c r="B361" s="40" t="s">
        <v>234</v>
      </c>
      <c r="C361" s="40" t="s">
        <v>213</v>
      </c>
      <c r="D361" s="20" t="s">
        <v>965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965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965</v>
      </c>
      <c r="E363" s="40" t="s">
        <v>134</v>
      </c>
      <c r="F363" s="6">
        <f>'пр.4.1.ведом.22-23'!G923</f>
        <v>700</v>
      </c>
      <c r="G363" s="6">
        <f>'пр.4.1.ведом.22-23'!H923</f>
        <v>700</v>
      </c>
    </row>
    <row r="364" spans="1:7" ht="31.5" hidden="1" x14ac:dyDescent="0.25">
      <c r="A364" s="34" t="s">
        <v>966</v>
      </c>
      <c r="B364" s="7" t="s">
        <v>234</v>
      </c>
      <c r="C364" s="7" t="s">
        <v>213</v>
      </c>
      <c r="D364" s="24" t="s">
        <v>967</v>
      </c>
      <c r="E364" s="7"/>
      <c r="F364" s="4">
        <f>F365</f>
        <v>0</v>
      </c>
      <c r="G364" s="4">
        <f>G365</f>
        <v>0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970</v>
      </c>
      <c r="E365" s="40"/>
      <c r="F365" s="6">
        <f>F366</f>
        <v>0</v>
      </c>
      <c r="G365" s="6">
        <f t="shared" si="28"/>
        <v>0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970</v>
      </c>
      <c r="E366" s="40" t="s">
        <v>132</v>
      </c>
      <c r="F366" s="6">
        <f>F367</f>
        <v>0</v>
      </c>
      <c r="G366" s="6">
        <f t="shared" si="28"/>
        <v>0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970</v>
      </c>
      <c r="E367" s="40" t="s">
        <v>134</v>
      </c>
      <c r="F367" s="6">
        <v>0</v>
      </c>
      <c r="G367" s="6">
        <f t="shared" si="28"/>
        <v>0</v>
      </c>
    </row>
    <row r="368" spans="1:7" ht="31.5" hidden="1" x14ac:dyDescent="0.25">
      <c r="A368" s="58" t="s">
        <v>968</v>
      </c>
      <c r="B368" s="7" t="s">
        <v>234</v>
      </c>
      <c r="C368" s="7" t="s">
        <v>213</v>
      </c>
      <c r="D368" s="24" t="s">
        <v>969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971</v>
      </c>
      <c r="E369" s="40"/>
      <c r="F369" s="6">
        <f>'Пр.3 Рд,пр, ЦС,ВР 21'!F410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971</v>
      </c>
      <c r="E370" s="40" t="s">
        <v>132</v>
      </c>
      <c r="F370" s="6">
        <f>'Пр.3 Рд,пр, ЦС,ВР 21'!F411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971</v>
      </c>
      <c r="E371" s="40" t="s">
        <v>134</v>
      </c>
      <c r="F371" s="6">
        <f>'Пр.3 Рд,пр, ЦС,ВР 21'!F412</f>
        <v>0</v>
      </c>
      <c r="G371" s="6">
        <f t="shared" si="28"/>
        <v>0</v>
      </c>
    </row>
    <row r="372" spans="1:7" ht="31.5" hidden="1" x14ac:dyDescent="0.25">
      <c r="A372" s="58" t="s">
        <v>972</v>
      </c>
      <c r="B372" s="7" t="s">
        <v>234</v>
      </c>
      <c r="C372" s="7" t="s">
        <v>213</v>
      </c>
      <c r="D372" s="24" t="s">
        <v>973</v>
      </c>
      <c r="E372" s="7"/>
      <c r="F372" s="4">
        <f>F373</f>
        <v>0</v>
      </c>
      <c r="G372" s="4">
        <f>G373</f>
        <v>0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974</v>
      </c>
      <c r="E373" s="40"/>
      <c r="F373" s="6">
        <f>F374</f>
        <v>0</v>
      </c>
      <c r="G373" s="6">
        <f t="shared" si="28"/>
        <v>0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974</v>
      </c>
      <c r="E374" s="40" t="s">
        <v>132</v>
      </c>
      <c r="F374" s="6">
        <f>F375</f>
        <v>0</v>
      </c>
      <c r="G374" s="6">
        <f t="shared" si="28"/>
        <v>0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974</v>
      </c>
      <c r="E375" s="40" t="s">
        <v>134</v>
      </c>
      <c r="F375" s="6">
        <v>0</v>
      </c>
      <c r="G375" s="6">
        <f t="shared" si="28"/>
        <v>0</v>
      </c>
    </row>
    <row r="376" spans="1:7" ht="31.5" hidden="1" x14ac:dyDescent="0.25">
      <c r="A376" s="34" t="s">
        <v>1013</v>
      </c>
      <c r="B376" s="7" t="s">
        <v>234</v>
      </c>
      <c r="C376" s="7" t="s">
        <v>213</v>
      </c>
      <c r="D376" s="24" t="s">
        <v>1014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1017</v>
      </c>
      <c r="E377" s="40"/>
      <c r="F377" s="6">
        <f>F378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1017</v>
      </c>
      <c r="E378" s="40" t="s">
        <v>132</v>
      </c>
      <c r="F378" s="6">
        <f>F379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1017</v>
      </c>
      <c r="E379" s="40" t="s">
        <v>134</v>
      </c>
      <c r="F379" s="6">
        <v>0</v>
      </c>
      <c r="G379" s="6">
        <f t="shared" si="28"/>
        <v>0</v>
      </c>
    </row>
    <row r="380" spans="1:7" ht="47.25" hidden="1" x14ac:dyDescent="0.25">
      <c r="A380" s="204" t="s">
        <v>1015</v>
      </c>
      <c r="B380" s="7" t="s">
        <v>234</v>
      </c>
      <c r="C380" s="7" t="s">
        <v>213</v>
      </c>
      <c r="D380" s="24" t="s">
        <v>1016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2" t="s">
        <v>531</v>
      </c>
      <c r="B381" s="40" t="s">
        <v>234</v>
      </c>
      <c r="C381" s="40" t="s">
        <v>213</v>
      </c>
      <c r="D381" s="20" t="s">
        <v>1018</v>
      </c>
      <c r="E381" s="40"/>
      <c r="F381" s="6">
        <f>'Пр.3 Рд,пр, ЦС,ВР 21'!F422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1018</v>
      </c>
      <c r="E382" s="40" t="s">
        <v>132</v>
      </c>
      <c r="F382" s="6">
        <f>'Пр.3 Рд,пр, ЦС,ВР 21'!F423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1018</v>
      </c>
      <c r="E383" s="40" t="s">
        <v>134</v>
      </c>
      <c r="F383" s="6">
        <f>'Пр.3 Рд,пр, ЦС,ВР 21'!F424</f>
        <v>0</v>
      </c>
      <c r="G383" s="6">
        <f t="shared" si="28"/>
        <v>0</v>
      </c>
    </row>
    <row r="384" spans="1:7" ht="31.5" hidden="1" x14ac:dyDescent="0.25">
      <c r="A384" s="204" t="s">
        <v>976</v>
      </c>
      <c r="B384" s="7" t="s">
        <v>234</v>
      </c>
      <c r="C384" s="7" t="s">
        <v>213</v>
      </c>
      <c r="D384" s="24" t="s">
        <v>977</v>
      </c>
      <c r="E384" s="7"/>
      <c r="F384" s="4">
        <f>F385</f>
        <v>0</v>
      </c>
      <c r="G384" s="4">
        <f>G385</f>
        <v>0</v>
      </c>
    </row>
    <row r="385" spans="1:9" ht="15.75" hidden="1" x14ac:dyDescent="0.25">
      <c r="A385" s="172" t="s">
        <v>533</v>
      </c>
      <c r="B385" s="40" t="s">
        <v>234</v>
      </c>
      <c r="C385" s="40" t="s">
        <v>213</v>
      </c>
      <c r="D385" s="20" t="s">
        <v>975</v>
      </c>
      <c r="E385" s="40"/>
      <c r="F385" s="6">
        <f>F386</f>
        <v>0</v>
      </c>
      <c r="G385" s="6">
        <f t="shared" si="28"/>
        <v>0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975</v>
      </c>
      <c r="E386" s="40" t="s">
        <v>132</v>
      </c>
      <c r="F386" s="6">
        <f>F387</f>
        <v>0</v>
      </c>
      <c r="G386" s="6">
        <f t="shared" si="28"/>
        <v>0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975</v>
      </c>
      <c r="E387" s="40" t="s">
        <v>134</v>
      </c>
      <c r="F387" s="6"/>
      <c r="G387" s="6">
        <f t="shared" si="28"/>
        <v>0</v>
      </c>
    </row>
    <row r="388" spans="1:9" s="191" customFormat="1" ht="47.25" x14ac:dyDescent="0.25">
      <c r="A388" s="23" t="s">
        <v>1511</v>
      </c>
      <c r="B388" s="7" t="s">
        <v>234</v>
      </c>
      <c r="C388" s="7" t="s">
        <v>213</v>
      </c>
      <c r="D388" s="24" t="s">
        <v>1139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191" customFormat="1" ht="31.5" x14ac:dyDescent="0.25">
      <c r="A389" s="23" t="s">
        <v>1515</v>
      </c>
      <c r="B389" s="7" t="s">
        <v>234</v>
      </c>
      <c r="C389" s="7" t="s">
        <v>213</v>
      </c>
      <c r="D389" s="24" t="s">
        <v>1141</v>
      </c>
      <c r="E389" s="7"/>
      <c r="F389" s="4">
        <f t="shared" si="30"/>
        <v>204</v>
      </c>
      <c r="G389" s="4">
        <f t="shared" si="30"/>
        <v>215</v>
      </c>
    </row>
    <row r="390" spans="1:9" s="191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1142</v>
      </c>
      <c r="E390" s="40"/>
      <c r="F390" s="6">
        <f t="shared" si="30"/>
        <v>204</v>
      </c>
      <c r="G390" s="6">
        <f t="shared" si="30"/>
        <v>215</v>
      </c>
    </row>
    <row r="391" spans="1:9" s="191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1142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191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1142</v>
      </c>
      <c r="E392" s="40" t="s">
        <v>134</v>
      </c>
      <c r="F392" s="6">
        <f>'пр.4.1.ведом.22-23'!G952</f>
        <v>204</v>
      </c>
      <c r="G392" s="6">
        <f>'пр.4.1.ведом.22-23'!H952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865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869</v>
      </c>
      <c r="B395" s="24" t="s">
        <v>234</v>
      </c>
      <c r="C395" s="24" t="s">
        <v>215</v>
      </c>
      <c r="D395" s="24" t="s">
        <v>864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1075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1075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1075</v>
      </c>
      <c r="E398" s="20" t="s">
        <v>134</v>
      </c>
      <c r="F398" s="6">
        <f>'пр.4.1.ведом.22-23'!G958</f>
        <v>1390</v>
      </c>
      <c r="G398" s="6">
        <f>'пр.4.1.ведом.22-23'!H958</f>
        <v>1390</v>
      </c>
    </row>
    <row r="399" spans="1:9" ht="47.25" x14ac:dyDescent="0.25">
      <c r="A399" s="23" t="s">
        <v>1361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1428</v>
      </c>
      <c r="B400" s="24" t="s">
        <v>234</v>
      </c>
      <c r="C400" s="24" t="s">
        <v>215</v>
      </c>
      <c r="D400" s="24" t="s">
        <v>1271</v>
      </c>
      <c r="E400" s="24"/>
      <c r="F400" s="4">
        <f t="shared" ref="F400:G402" si="32">F401</f>
        <v>0</v>
      </c>
      <c r="G400" s="4">
        <f t="shared" si="32"/>
        <v>0</v>
      </c>
    </row>
    <row r="401" spans="1:7" s="191" customFormat="1" ht="31.5" hidden="1" x14ac:dyDescent="0.25">
      <c r="A401" s="289" t="s">
        <v>1429</v>
      </c>
      <c r="B401" s="20" t="s">
        <v>234</v>
      </c>
      <c r="C401" s="20" t="s">
        <v>215</v>
      </c>
      <c r="D401" s="20" t="s">
        <v>1418</v>
      </c>
      <c r="E401" s="20"/>
      <c r="F401" s="26">
        <f t="shared" si="32"/>
        <v>0</v>
      </c>
      <c r="G401" s="6">
        <f t="shared" si="32"/>
        <v>0</v>
      </c>
    </row>
    <row r="402" spans="1:7" s="191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1418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191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1418</v>
      </c>
      <c r="E403" s="20" t="s">
        <v>134</v>
      </c>
      <c r="F403" s="26">
        <f>'пр.4.1.ведом.22-23'!G963</f>
        <v>0</v>
      </c>
      <c r="G403" s="6">
        <f>'пр.4.1.ведом.22-23'!H963</f>
        <v>0</v>
      </c>
    </row>
    <row r="404" spans="1:7" s="191" customFormat="1" ht="47.25" x14ac:dyDescent="0.25">
      <c r="A404" s="23" t="s">
        <v>1431</v>
      </c>
      <c r="B404" s="24" t="s">
        <v>234</v>
      </c>
      <c r="C404" s="24" t="s">
        <v>215</v>
      </c>
      <c r="D404" s="24" t="s">
        <v>1272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1427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1427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1427</v>
      </c>
      <c r="E407" s="20" t="s">
        <v>134</v>
      </c>
      <c r="F407" s="6">
        <f>'пр.4.1.ведом.22-23'!G967</f>
        <v>365</v>
      </c>
      <c r="G407" s="6">
        <f>'пр.4.1.ведом.22-23'!H967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1417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1417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1417</v>
      </c>
      <c r="E410" s="20" t="s">
        <v>134</v>
      </c>
      <c r="F410" s="6">
        <f>'пр.4.1.ведом.22-23'!G970</f>
        <v>1080</v>
      </c>
      <c r="G410" s="6">
        <f>'пр.4.1.ведом.22-23'!H970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1417</v>
      </c>
      <c r="E411" s="20" t="s">
        <v>145</v>
      </c>
      <c r="F411" s="6">
        <f>'Пр.3 Рд,пр, ЦС,ВР 21'!F456</f>
        <v>0</v>
      </c>
      <c r="G411" s="6" t="e">
        <f>'Пр.3 Рд,пр, ЦС,ВР 21'!#REF!</f>
        <v>#REF!</v>
      </c>
    </row>
    <row r="412" spans="1:7" ht="47.25" hidden="1" x14ac:dyDescent="0.25">
      <c r="A412" s="25" t="s">
        <v>835</v>
      </c>
      <c r="B412" s="20" t="s">
        <v>234</v>
      </c>
      <c r="C412" s="20" t="s">
        <v>215</v>
      </c>
      <c r="D412" s="20" t="s">
        <v>1417</v>
      </c>
      <c r="E412" s="20" t="s">
        <v>147</v>
      </c>
      <c r="F412" s="6">
        <f>'Пр.3 Рд,пр, ЦС,ВР 21'!F457</f>
        <v>0</v>
      </c>
      <c r="G412" s="6" t="e">
        <f>'Пр.3 Рд,пр, ЦС,ВР 21'!#REF!</f>
        <v>#REF!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1417</v>
      </c>
      <c r="E413" s="20" t="s">
        <v>138</v>
      </c>
      <c r="F413" s="6">
        <f>'Пр.3 Рд,пр, ЦС,ВР 21'!F458</f>
        <v>0</v>
      </c>
      <c r="G413" s="6" t="e">
        <f>'Пр.3 Рд,пр, ЦС,ВР 21'!#REF!</f>
        <v>#REF!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1296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1296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1296</v>
      </c>
      <c r="E416" s="20" t="s">
        <v>134</v>
      </c>
      <c r="F416" s="6">
        <f>'пр.4.1.ведом.22-23'!G976</f>
        <v>0</v>
      </c>
      <c r="G416" s="6">
        <f>'пр.4.1.ведом.22-23'!H976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1273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1273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1273</v>
      </c>
      <c r="E419" s="20" t="s">
        <v>134</v>
      </c>
      <c r="F419" s="6">
        <f>'пр.4.1.ведом.22-23'!G979</f>
        <v>50</v>
      </c>
      <c r="G419" s="6">
        <f>'пр.4.1.ведом.22-23'!H979</f>
        <v>55</v>
      </c>
    </row>
    <row r="420" spans="1:7" ht="31.5" x14ac:dyDescent="0.25">
      <c r="A420" s="287" t="s">
        <v>1430</v>
      </c>
      <c r="B420" s="20" t="s">
        <v>234</v>
      </c>
      <c r="C420" s="20" t="s">
        <v>215</v>
      </c>
      <c r="D420" s="20" t="s">
        <v>1274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1274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1274</v>
      </c>
      <c r="E422" s="20" t="s">
        <v>134</v>
      </c>
      <c r="F422" s="6">
        <f>'пр.4.1.ведом.22-23'!G982</f>
        <v>300</v>
      </c>
      <c r="G422" s="6">
        <f>'пр.4.1.ведом.22-23'!H982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1274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1274</v>
      </c>
      <c r="E424" s="20" t="s">
        <v>138</v>
      </c>
      <c r="F424" s="6">
        <f>'пр.4.1.ведом.22-23'!G984</f>
        <v>75</v>
      </c>
      <c r="G424" s="6">
        <f>'пр.4.1.ведом.22-23'!H984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1275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1275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1275</v>
      </c>
      <c r="E427" s="20" t="s">
        <v>134</v>
      </c>
      <c r="F427" s="6">
        <f>'пр.4.1.ведом.22-23'!G987</f>
        <v>0</v>
      </c>
      <c r="G427" s="6">
        <f>'пр.4.1.ведом.22-23'!H987</f>
        <v>130</v>
      </c>
    </row>
    <row r="428" spans="1:7" s="191" customFormat="1" ht="31.5" x14ac:dyDescent="0.25">
      <c r="A428" s="213" t="s">
        <v>1089</v>
      </c>
      <c r="B428" s="20" t="s">
        <v>234</v>
      </c>
      <c r="C428" s="20" t="s">
        <v>215</v>
      </c>
      <c r="D428" s="20" t="s">
        <v>1276</v>
      </c>
      <c r="E428" s="20"/>
      <c r="F428" s="26">
        <f>F429</f>
        <v>50</v>
      </c>
      <c r="G428" s="26">
        <f>G429</f>
        <v>60</v>
      </c>
    </row>
    <row r="429" spans="1:7" s="191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1276</v>
      </c>
      <c r="E429" s="20" t="s">
        <v>132</v>
      </c>
      <c r="F429" s="26">
        <f>F430</f>
        <v>50</v>
      </c>
      <c r="G429" s="26">
        <f>G430</f>
        <v>60</v>
      </c>
    </row>
    <row r="430" spans="1:7" s="191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1276</v>
      </c>
      <c r="E430" s="20" t="s">
        <v>134</v>
      </c>
      <c r="F430" s="26">
        <f>'пр.4.1.ведом.22-23'!G990</f>
        <v>50</v>
      </c>
      <c r="G430" s="26">
        <f>'пр.4.1.ведом.22-23'!H990</f>
        <v>60</v>
      </c>
    </row>
    <row r="431" spans="1:7" ht="41.25" hidden="1" customHeight="1" x14ac:dyDescent="0.25">
      <c r="A431" s="23" t="s">
        <v>890</v>
      </c>
      <c r="B431" s="7" t="s">
        <v>234</v>
      </c>
      <c r="C431" s="7" t="s">
        <v>215</v>
      </c>
      <c r="D431" s="24" t="s">
        <v>1294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1325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1325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1325</v>
      </c>
      <c r="E434" s="20" t="s">
        <v>134</v>
      </c>
      <c r="F434" s="6">
        <f>'Пр.3 Рд,пр, ЦС,ВР 21'!F479</f>
        <v>0</v>
      </c>
      <c r="G434" s="6">
        <f t="shared" si="33"/>
        <v>0</v>
      </c>
    </row>
    <row r="435" spans="1:7" ht="63" hidden="1" x14ac:dyDescent="0.25">
      <c r="A435" s="25" t="s">
        <v>1071</v>
      </c>
      <c r="B435" s="20" t="s">
        <v>234</v>
      </c>
      <c r="C435" s="20" t="s">
        <v>215</v>
      </c>
      <c r="D435" s="20" t="s">
        <v>1293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1293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1293</v>
      </c>
      <c r="E437" s="20" t="s">
        <v>134</v>
      </c>
      <c r="F437" s="6">
        <f>'пр.4.1.ведом.22-23'!G997</f>
        <v>0</v>
      </c>
      <c r="G437" s="6">
        <f>'пр.4.1.ведом.22-23'!H997</f>
        <v>0</v>
      </c>
    </row>
    <row r="438" spans="1:7" ht="78.75" x14ac:dyDescent="0.25">
      <c r="A438" s="23" t="s">
        <v>1513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1067</v>
      </c>
      <c r="B439" s="24" t="s">
        <v>234</v>
      </c>
      <c r="C439" s="24" t="s">
        <v>215</v>
      </c>
      <c r="D439" s="24" t="s">
        <v>834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35" t="s">
        <v>710</v>
      </c>
      <c r="B440" s="20" t="s">
        <v>234</v>
      </c>
      <c r="C440" s="20" t="s">
        <v>215</v>
      </c>
      <c r="D440" s="20" t="s">
        <v>834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834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834</v>
      </c>
      <c r="E442" s="20" t="s">
        <v>134</v>
      </c>
      <c r="F442" s="6">
        <f>'пр.4.1.ведом.22-23'!G1002</f>
        <v>500</v>
      </c>
      <c r="G442" s="6">
        <f>'пр.4.1.ведом.22-23'!H1002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916</v>
      </c>
      <c r="B444" s="24" t="s">
        <v>234</v>
      </c>
      <c r="C444" s="24" t="s">
        <v>234</v>
      </c>
      <c r="D444" s="24" t="s">
        <v>857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917</v>
      </c>
      <c r="B445" s="24" t="s">
        <v>234</v>
      </c>
      <c r="C445" s="24" t="s">
        <v>234</v>
      </c>
      <c r="D445" s="24" t="s">
        <v>858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896</v>
      </c>
      <c r="B446" s="20" t="s">
        <v>234</v>
      </c>
      <c r="C446" s="20" t="s">
        <v>234</v>
      </c>
      <c r="D446" s="20" t="s">
        <v>859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859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859</v>
      </c>
      <c r="E448" s="20" t="s">
        <v>130</v>
      </c>
      <c r="F448" s="6">
        <f>'пр.4.1.ведом.22-23'!G1008</f>
        <v>12439.3</v>
      </c>
      <c r="G448" s="6">
        <f>'пр.4.1.ведом.22-23'!H1008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859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859</v>
      </c>
      <c r="E450" s="20" t="s">
        <v>134</v>
      </c>
      <c r="F450" s="6">
        <f>'пр.4.1.ведом.22-23'!G1010</f>
        <v>25</v>
      </c>
      <c r="G450" s="6">
        <f>'пр.4.1.ведом.22-23'!H1010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859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859</v>
      </c>
      <c r="E452" s="20" t="s">
        <v>138</v>
      </c>
      <c r="F452" s="6">
        <f>'пр.4.1.ведом.22-23'!G1012</f>
        <v>47</v>
      </c>
      <c r="G452" s="6">
        <f>'пр.4.1.ведом.22-23'!H1012</f>
        <v>47</v>
      </c>
    </row>
    <row r="453" spans="1:7" ht="47.25" x14ac:dyDescent="0.25">
      <c r="A453" s="25" t="s">
        <v>838</v>
      </c>
      <c r="B453" s="20" t="s">
        <v>234</v>
      </c>
      <c r="C453" s="20" t="s">
        <v>234</v>
      </c>
      <c r="D453" s="20" t="s">
        <v>861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861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861</v>
      </c>
      <c r="E455" s="20" t="s">
        <v>130</v>
      </c>
      <c r="F455" s="6">
        <f>'пр.4.1.ведом.22-23'!G1015</f>
        <v>368</v>
      </c>
      <c r="G455" s="6">
        <f>'пр.4.1.ведом.22-23'!H1015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865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869</v>
      </c>
      <c r="B457" s="24" t="s">
        <v>234</v>
      </c>
      <c r="C457" s="24" t="s">
        <v>234</v>
      </c>
      <c r="D457" s="24" t="s">
        <v>864</v>
      </c>
      <c r="E457" s="24"/>
      <c r="F457" s="333">
        <f>F458</f>
        <v>982</v>
      </c>
      <c r="G457" s="333">
        <f>G458+G461</f>
        <v>982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983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983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983</v>
      </c>
      <c r="E460" s="20" t="s">
        <v>160</v>
      </c>
      <c r="F460" s="6">
        <f>'пр.4.1.ведом.22-23'!G1020</f>
        <v>982</v>
      </c>
      <c r="G460" s="6">
        <f>'пр.4.1.ведом.22-23'!H1020</f>
        <v>982</v>
      </c>
    </row>
    <row r="461" spans="1:7" ht="31.5" hidden="1" x14ac:dyDescent="0.25">
      <c r="A461" s="25" t="s">
        <v>822</v>
      </c>
      <c r="B461" s="20" t="s">
        <v>234</v>
      </c>
      <c r="C461" s="20" t="s">
        <v>234</v>
      </c>
      <c r="D461" s="20" t="s">
        <v>1072</v>
      </c>
      <c r="E461" s="20"/>
      <c r="F461" s="6"/>
      <c r="G461" s="6">
        <f t="shared" si="33"/>
        <v>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1072</v>
      </c>
      <c r="E462" s="20" t="s">
        <v>145</v>
      </c>
      <c r="F462" s="6">
        <f>F463</f>
        <v>0</v>
      </c>
      <c r="G462" s="6">
        <f t="shared" si="33"/>
        <v>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1072</v>
      </c>
      <c r="E463" s="20" t="s">
        <v>160</v>
      </c>
      <c r="F463" s="6">
        <v>0</v>
      </c>
      <c r="G463" s="6">
        <f t="shared" si="33"/>
        <v>0</v>
      </c>
    </row>
    <row r="464" spans="1:7" ht="47.25" x14ac:dyDescent="0.25">
      <c r="A464" s="23" t="s">
        <v>928</v>
      </c>
      <c r="B464" s="24" t="s">
        <v>234</v>
      </c>
      <c r="C464" s="24" t="s">
        <v>234</v>
      </c>
      <c r="D464" s="24" t="s">
        <v>913</v>
      </c>
      <c r="E464" s="24"/>
      <c r="F464" s="333">
        <f>F465+F470</f>
        <v>11443.2</v>
      </c>
      <c r="G464" s="333">
        <f>G465+G470</f>
        <v>11443.2</v>
      </c>
    </row>
    <row r="465" spans="1:10" ht="31.5" x14ac:dyDescent="0.25">
      <c r="A465" s="25" t="s">
        <v>902</v>
      </c>
      <c r="B465" s="20" t="s">
        <v>234</v>
      </c>
      <c r="C465" s="20" t="s">
        <v>234</v>
      </c>
      <c r="D465" s="20" t="s">
        <v>914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914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914</v>
      </c>
      <c r="E467" s="20" t="s">
        <v>209</v>
      </c>
      <c r="F467" s="6">
        <f>'пр.4.1.ведом.22-23'!G1027</f>
        <v>9193</v>
      </c>
      <c r="G467" s="6">
        <f>'пр.4.1.ведом.22-23'!H1027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914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914</v>
      </c>
      <c r="E469" s="20" t="s">
        <v>134</v>
      </c>
      <c r="F469" s="6">
        <f>'пр.4.1.ведом.22-23'!G1029</f>
        <v>1652.2</v>
      </c>
      <c r="G469" s="6">
        <f>'пр.4.1.ведом.22-23'!H1029</f>
        <v>1652.2</v>
      </c>
    </row>
    <row r="470" spans="1:10" ht="47.25" x14ac:dyDescent="0.25">
      <c r="A470" s="25" t="s">
        <v>838</v>
      </c>
      <c r="B470" s="20" t="s">
        <v>234</v>
      </c>
      <c r="C470" s="20" t="s">
        <v>234</v>
      </c>
      <c r="D470" s="20" t="s">
        <v>915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915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915</v>
      </c>
      <c r="E472" s="20" t="s">
        <v>130</v>
      </c>
      <c r="F472" s="6">
        <f>'пр.4.1.ведом.22-23'!G1032</f>
        <v>598</v>
      </c>
      <c r="G472" s="6">
        <f>'пр.4.1.ведом.22-23'!H1032</f>
        <v>598</v>
      </c>
    </row>
    <row r="473" spans="1:10" s="191" customFormat="1" ht="63" hidden="1" x14ac:dyDescent="0.25">
      <c r="A473" s="34" t="s">
        <v>1356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191" customFormat="1" ht="63" hidden="1" x14ac:dyDescent="0.25">
      <c r="A474" s="34" t="s">
        <v>1008</v>
      </c>
      <c r="B474" s="24" t="s">
        <v>234</v>
      </c>
      <c r="C474" s="24" t="s">
        <v>234</v>
      </c>
      <c r="D474" s="24" t="s">
        <v>933</v>
      </c>
      <c r="E474" s="24"/>
      <c r="F474" s="21">
        <f t="shared" si="36"/>
        <v>0</v>
      </c>
      <c r="G474" s="21">
        <f t="shared" si="36"/>
        <v>0</v>
      </c>
    </row>
    <row r="475" spans="1:10" s="191" customFormat="1" ht="47.25" hidden="1" x14ac:dyDescent="0.25">
      <c r="A475" s="31" t="s">
        <v>1081</v>
      </c>
      <c r="B475" s="20" t="s">
        <v>234</v>
      </c>
      <c r="C475" s="20" t="s">
        <v>234</v>
      </c>
      <c r="D475" s="20" t="s">
        <v>1025</v>
      </c>
      <c r="E475" s="20"/>
      <c r="F475" s="26">
        <f t="shared" si="36"/>
        <v>0</v>
      </c>
      <c r="G475" s="26">
        <f t="shared" si="36"/>
        <v>0</v>
      </c>
    </row>
    <row r="476" spans="1:10" s="191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1025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191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1025</v>
      </c>
      <c r="E477" s="20" t="s">
        <v>134</v>
      </c>
      <c r="F477" s="26">
        <f>'пр.4.1.ведом.22-23'!G1037</f>
        <v>0</v>
      </c>
      <c r="G477" s="6">
        <f>'пр.4.1.ведом.22-23'!H1037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366206.80999999994</v>
      </c>
      <c r="G478" s="4">
        <f>G479+G542+G714+G620+G689</f>
        <v>389340.16000000003</v>
      </c>
      <c r="H478" s="209"/>
      <c r="I478" s="209"/>
      <c r="J478" s="209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1355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936</v>
      </c>
      <c r="B481" s="24" t="s">
        <v>264</v>
      </c>
      <c r="C481" s="24" t="s">
        <v>118</v>
      </c>
      <c r="D481" s="24" t="s">
        <v>1228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1227</v>
      </c>
      <c r="B482" s="20" t="s">
        <v>264</v>
      </c>
      <c r="C482" s="20" t="s">
        <v>118</v>
      </c>
      <c r="D482" s="20" t="s">
        <v>1229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1229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1229</v>
      </c>
      <c r="E484" s="20" t="s">
        <v>275</v>
      </c>
      <c r="F484" s="331">
        <f>'пр.4.1.ведом.22-23'!G554</f>
        <v>14795.6</v>
      </c>
      <c r="G484" s="331">
        <f>'пр.4.1.ведом.22-23'!H554</f>
        <v>14795.6</v>
      </c>
    </row>
    <row r="485" spans="1:7" ht="47.25" x14ac:dyDescent="0.25">
      <c r="A485" s="23" t="s">
        <v>899</v>
      </c>
      <c r="B485" s="24" t="s">
        <v>264</v>
      </c>
      <c r="C485" s="24" t="s">
        <v>118</v>
      </c>
      <c r="D485" s="24" t="s">
        <v>1230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191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1389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191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1389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191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1389</v>
      </c>
      <c r="E488" s="20" t="s">
        <v>275</v>
      </c>
      <c r="F488" s="6">
        <f>'пр.4.1.ведом.22-23'!G558</f>
        <v>3230</v>
      </c>
      <c r="G488" s="6">
        <f>'пр.4.1.ведом.22-23'!H558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1231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1231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1231</v>
      </c>
      <c r="E491" s="20" t="s">
        <v>275</v>
      </c>
      <c r="F491" s="6">
        <f>'пр.4.1.ведом.22-23'!G561</f>
        <v>589</v>
      </c>
      <c r="G491" s="6">
        <f>'пр.4.1.ведом.22-23'!H561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1232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1232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1232</v>
      </c>
      <c r="E494" s="20" t="s">
        <v>275</v>
      </c>
      <c r="F494" s="6">
        <f>'пр.4.1.ведом.22-23'!G564</f>
        <v>1629.3</v>
      </c>
      <c r="G494" s="6">
        <f>'пр.4.1.ведом.22-23'!H564</f>
        <v>1629.3</v>
      </c>
    </row>
    <row r="495" spans="1:7" ht="94.5" x14ac:dyDescent="0.25">
      <c r="A495" s="31" t="s">
        <v>1181</v>
      </c>
      <c r="B495" s="20" t="s">
        <v>264</v>
      </c>
      <c r="C495" s="20" t="s">
        <v>118</v>
      </c>
      <c r="D495" s="20" t="s">
        <v>1233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1233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1233</v>
      </c>
      <c r="E497" s="20" t="s">
        <v>275</v>
      </c>
      <c r="F497" s="6">
        <f>'пр.4.1.ведом.22-23'!G567</f>
        <v>70113.2</v>
      </c>
      <c r="G497" s="6">
        <f>'пр.4.1.ведом.22-23'!H567</f>
        <v>74475.8</v>
      </c>
    </row>
    <row r="498" spans="1:7" ht="31.5" x14ac:dyDescent="0.25">
      <c r="A498" s="23" t="s">
        <v>1290</v>
      </c>
      <c r="B498" s="24" t="s">
        <v>264</v>
      </c>
      <c r="C498" s="24" t="s">
        <v>118</v>
      </c>
      <c r="D498" s="24" t="s">
        <v>1235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1316</v>
      </c>
      <c r="E499" s="20"/>
      <c r="F499" s="6">
        <f>F500</f>
        <v>0</v>
      </c>
      <c r="G499" s="6">
        <f>G500</f>
        <v>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1316</v>
      </c>
      <c r="E500" s="20" t="s">
        <v>273</v>
      </c>
      <c r="F500" s="6">
        <f t="shared" ref="F500:G500" si="42">F501</f>
        <v>0</v>
      </c>
      <c r="G500" s="6">
        <f t="shared" si="42"/>
        <v>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1316</v>
      </c>
      <c r="E501" s="20" t="s">
        <v>275</v>
      </c>
      <c r="F501" s="6">
        <f>'пр.4.1.ведом.22-23'!G571</f>
        <v>0</v>
      </c>
      <c r="G501" s="6">
        <f>'пр.4.1.ведом.22-23'!H571</f>
        <v>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1317</v>
      </c>
      <c r="E502" s="20"/>
      <c r="F502" s="6">
        <f>F503</f>
        <v>0</v>
      </c>
      <c r="G502" s="6">
        <f>G503</f>
        <v>0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1317</v>
      </c>
      <c r="E503" s="20" t="s">
        <v>273</v>
      </c>
      <c r="F503" s="6">
        <f t="shared" ref="F503:G503" si="43">F504</f>
        <v>0</v>
      </c>
      <c r="G503" s="6">
        <f t="shared" si="43"/>
        <v>0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1317</v>
      </c>
      <c r="E504" s="20" t="s">
        <v>275</v>
      </c>
      <c r="F504" s="6">
        <f>'пр.4.1.ведом.22-23'!G574</f>
        <v>0</v>
      </c>
      <c r="G504" s="6">
        <f>'пр.4.1.ведом.22-23'!H574</f>
        <v>0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1236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1236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1236</v>
      </c>
      <c r="E507" s="20" t="s">
        <v>275</v>
      </c>
      <c r="F507" s="6">
        <f>'пр.4.1.ведом.22-23'!G577</f>
        <v>4430</v>
      </c>
      <c r="G507" s="6">
        <f>'пр.4.1.ведом.22-23'!H577</f>
        <v>4430</v>
      </c>
    </row>
    <row r="508" spans="1:7" ht="47.25" x14ac:dyDescent="0.25">
      <c r="A508" s="203" t="s">
        <v>947</v>
      </c>
      <c r="B508" s="24" t="s">
        <v>264</v>
      </c>
      <c r="C508" s="24" t="s">
        <v>118</v>
      </c>
      <c r="D508" s="24" t="s">
        <v>1238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1256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1256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1256</v>
      </c>
      <c r="E511" s="20" t="s">
        <v>275</v>
      </c>
      <c r="F511" s="6">
        <f>'пр.4.1.ведом.22-23'!G581</f>
        <v>0</v>
      </c>
      <c r="G511" s="6">
        <f>'пр.4.1.ведом.22-23'!H581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1239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1239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0" t="s">
        <v>274</v>
      </c>
      <c r="B514" s="20" t="s">
        <v>264</v>
      </c>
      <c r="C514" s="20" t="s">
        <v>118</v>
      </c>
      <c r="D514" s="20" t="s">
        <v>1239</v>
      </c>
      <c r="E514" s="20" t="s">
        <v>275</v>
      </c>
      <c r="F514" s="6">
        <f>'пр.4.1.ведом.22-23'!G584</f>
        <v>3088</v>
      </c>
      <c r="G514" s="6">
        <f>'пр.4.1.ведом.22-23'!H584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1240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1240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0" t="s">
        <v>274</v>
      </c>
      <c r="B517" s="20" t="s">
        <v>264</v>
      </c>
      <c r="C517" s="20" t="s">
        <v>118</v>
      </c>
      <c r="D517" s="20" t="s">
        <v>1240</v>
      </c>
      <c r="E517" s="20" t="s">
        <v>275</v>
      </c>
      <c r="F517" s="6">
        <f>'пр.4.1.ведом.22-23'!G587</f>
        <v>1760</v>
      </c>
      <c r="G517" s="6">
        <f>'пр.4.1.ведом.22-23'!H587</f>
        <v>1760</v>
      </c>
    </row>
    <row r="518" spans="1:7" ht="78" customHeight="1" x14ac:dyDescent="0.25">
      <c r="A518" s="23" t="s">
        <v>932</v>
      </c>
      <c r="B518" s="24" t="s">
        <v>264</v>
      </c>
      <c r="C518" s="24" t="s">
        <v>118</v>
      </c>
      <c r="D518" s="24" t="s">
        <v>1241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1491</v>
      </c>
      <c r="B519" s="20" t="s">
        <v>264</v>
      </c>
      <c r="C519" s="20" t="s">
        <v>118</v>
      </c>
      <c r="D519" s="20" t="s">
        <v>1242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1242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0" t="s">
        <v>274</v>
      </c>
      <c r="B521" s="20" t="s">
        <v>264</v>
      </c>
      <c r="C521" s="20" t="s">
        <v>118</v>
      </c>
      <c r="D521" s="20" t="s">
        <v>1242</v>
      </c>
      <c r="E521" s="20" t="s">
        <v>275</v>
      </c>
      <c r="F521" s="6">
        <f>'пр.4.1.ведом.22-23'!G591</f>
        <v>297.70000000000005</v>
      </c>
      <c r="G521" s="6">
        <f>'пр.4.1.ведом.22-23'!H591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1243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1243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1243</v>
      </c>
      <c r="E524" s="20" t="s">
        <v>275</v>
      </c>
      <c r="F524" s="6" t="e">
        <f>'пр.4.1.ведом.22-23'!#REF!</f>
        <v>#REF!</v>
      </c>
      <c r="G524" s="6" t="e">
        <f>'пр.4.1.ведом.22-23'!#REF!</f>
        <v>#REF!</v>
      </c>
    </row>
    <row r="525" spans="1:7" s="191" customFormat="1" ht="110.25" x14ac:dyDescent="0.25">
      <c r="A525" s="23" t="s">
        <v>1164</v>
      </c>
      <c r="B525" s="24" t="s">
        <v>264</v>
      </c>
      <c r="C525" s="24" t="s">
        <v>118</v>
      </c>
      <c r="D525" s="24" t="s">
        <v>1244</v>
      </c>
      <c r="E525" s="24"/>
      <c r="F525" s="21">
        <f>F526+F529</f>
        <v>1666.6</v>
      </c>
      <c r="G525" s="21">
        <f>G526+G529</f>
        <v>915</v>
      </c>
    </row>
    <row r="526" spans="1:7" s="191" customFormat="1" ht="101.25" hidden="1" customHeight="1" x14ac:dyDescent="0.25">
      <c r="A526" s="148" t="s">
        <v>1183</v>
      </c>
      <c r="B526" s="20" t="s">
        <v>264</v>
      </c>
      <c r="C526" s="20" t="s">
        <v>118</v>
      </c>
      <c r="D526" s="20" t="s">
        <v>1245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1245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1245</v>
      </c>
      <c r="E528" s="20" t="s">
        <v>275</v>
      </c>
      <c r="F528" s="26">
        <f>'пр.4.1.ведом.22-23'!G595</f>
        <v>0</v>
      </c>
      <c r="G528" s="26">
        <f>'пр.4.1.ведом.22-23'!H595</f>
        <v>0</v>
      </c>
    </row>
    <row r="529" spans="1:7" ht="94.5" x14ac:dyDescent="0.25">
      <c r="A529" s="148" t="s">
        <v>1474</v>
      </c>
      <c r="B529" s="20" t="s">
        <v>264</v>
      </c>
      <c r="C529" s="20" t="s">
        <v>118</v>
      </c>
      <c r="D529" s="20" t="s">
        <v>1245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1245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1245</v>
      </c>
      <c r="E531" s="20" t="s">
        <v>275</v>
      </c>
      <c r="F531" s="26">
        <f>'пр.4.1.ведом.22-23'!G598</f>
        <v>1666.6</v>
      </c>
      <c r="G531" s="26">
        <f>'пр.4.1.ведом.22-23'!H598</f>
        <v>915</v>
      </c>
    </row>
    <row r="532" spans="1:7" s="191" customFormat="1" ht="63" x14ac:dyDescent="0.25">
      <c r="A532" s="34" t="s">
        <v>1356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191" customFormat="1" ht="63" x14ac:dyDescent="0.25">
      <c r="A533" s="34" t="s">
        <v>1008</v>
      </c>
      <c r="B533" s="24" t="s">
        <v>264</v>
      </c>
      <c r="C533" s="24" t="s">
        <v>118</v>
      </c>
      <c r="D533" s="24" t="s">
        <v>933</v>
      </c>
      <c r="E533" s="24"/>
      <c r="F533" s="21">
        <f t="shared" si="46"/>
        <v>80</v>
      </c>
      <c r="G533" s="21">
        <f t="shared" si="46"/>
        <v>25</v>
      </c>
    </row>
    <row r="534" spans="1:7" s="191" customFormat="1" ht="47.25" x14ac:dyDescent="0.25">
      <c r="A534" s="31" t="s">
        <v>1082</v>
      </c>
      <c r="B534" s="20" t="s">
        <v>264</v>
      </c>
      <c r="C534" s="20" t="s">
        <v>118</v>
      </c>
      <c r="D534" s="20" t="s">
        <v>934</v>
      </c>
      <c r="E534" s="20"/>
      <c r="F534" s="26">
        <f t="shared" si="46"/>
        <v>80</v>
      </c>
      <c r="G534" s="26">
        <f t="shared" si="46"/>
        <v>25</v>
      </c>
    </row>
    <row r="535" spans="1:7" s="191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934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191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934</v>
      </c>
      <c r="E536" s="20" t="s">
        <v>275</v>
      </c>
      <c r="F536" s="26">
        <f>'пр.4.1.ведом.22-23'!G603</f>
        <v>80</v>
      </c>
      <c r="G536" s="26">
        <f>'пр.4.1.ведом.22-23'!H603</f>
        <v>25</v>
      </c>
    </row>
    <row r="537" spans="1:7" ht="63" x14ac:dyDescent="0.25">
      <c r="A537" s="41" t="s">
        <v>1351</v>
      </c>
      <c r="B537" s="24" t="s">
        <v>264</v>
      </c>
      <c r="C537" s="24" t="s">
        <v>118</v>
      </c>
      <c r="D537" s="24" t="s">
        <v>705</v>
      </c>
      <c r="E537" s="206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889</v>
      </c>
      <c r="B538" s="24" t="s">
        <v>264</v>
      </c>
      <c r="C538" s="24" t="s">
        <v>118</v>
      </c>
      <c r="D538" s="24" t="s">
        <v>887</v>
      </c>
      <c r="E538" s="206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935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935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0" t="s">
        <v>274</v>
      </c>
      <c r="B541" s="20" t="s">
        <v>264</v>
      </c>
      <c r="C541" s="20" t="s">
        <v>118</v>
      </c>
      <c r="D541" s="20" t="s">
        <v>935</v>
      </c>
      <c r="E541" s="32" t="s">
        <v>275</v>
      </c>
      <c r="F541" s="6">
        <f>'пр.4.1.ведом.22-23'!G608</f>
        <v>570.9</v>
      </c>
      <c r="G541" s="6">
        <f>'пр.4.1.ведом.22-23'!H608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177341.49999999997</v>
      </c>
      <c r="G542" s="4">
        <f>G543+G615+G610</f>
        <v>196805.15000000002</v>
      </c>
    </row>
    <row r="543" spans="1:7" ht="47.25" x14ac:dyDescent="0.25">
      <c r="A543" s="23" t="s">
        <v>1357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176410.99999999997</v>
      </c>
      <c r="G543" s="4">
        <f>G544+G548+G567+G580+G587+G591+G595+G602+G606</f>
        <v>195829.85000000003</v>
      </c>
    </row>
    <row r="544" spans="1:7" ht="47.25" x14ac:dyDescent="0.25">
      <c r="A544" s="23" t="s">
        <v>936</v>
      </c>
      <c r="B544" s="24" t="s">
        <v>264</v>
      </c>
      <c r="C544" s="24" t="s">
        <v>213</v>
      </c>
      <c r="D544" s="24" t="s">
        <v>1228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1234</v>
      </c>
      <c r="B545" s="20" t="s">
        <v>264</v>
      </c>
      <c r="C545" s="20" t="s">
        <v>213</v>
      </c>
      <c r="D545" s="20" t="s">
        <v>1247</v>
      </c>
      <c r="E545" s="20"/>
      <c r="F545" s="331">
        <f t="shared" ref="F545:G545" si="48">F546</f>
        <v>28690.799999999999</v>
      </c>
      <c r="G545" s="331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1247</v>
      </c>
      <c r="E546" s="20" t="s">
        <v>273</v>
      </c>
      <c r="F546" s="331">
        <f>F547</f>
        <v>28690.799999999999</v>
      </c>
      <c r="G546" s="331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1247</v>
      </c>
      <c r="E547" s="20" t="s">
        <v>275</v>
      </c>
      <c r="F547" s="6">
        <f>'пр.4.1.ведом.22-23'!G614</f>
        <v>28690.799999999999</v>
      </c>
      <c r="G547" s="6">
        <f>'пр.4.1.ведом.22-23'!H614</f>
        <v>28690.799999999999</v>
      </c>
    </row>
    <row r="548" spans="1:7" ht="47.25" x14ac:dyDescent="0.25">
      <c r="A548" s="23" t="s">
        <v>899</v>
      </c>
      <c r="B548" s="24" t="s">
        <v>264</v>
      </c>
      <c r="C548" s="24" t="s">
        <v>213</v>
      </c>
      <c r="D548" s="24" t="s">
        <v>1230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191" customFormat="1" ht="78.75" x14ac:dyDescent="0.25">
      <c r="A549" s="25" t="s">
        <v>1391</v>
      </c>
      <c r="B549" s="20" t="s">
        <v>264</v>
      </c>
      <c r="C549" s="20" t="s">
        <v>213</v>
      </c>
      <c r="D549" s="20" t="s">
        <v>1392</v>
      </c>
      <c r="E549" s="20"/>
      <c r="F549" s="27">
        <f>F550</f>
        <v>7226.1</v>
      </c>
      <c r="G549" s="27">
        <f>G550</f>
        <v>7226.1</v>
      </c>
    </row>
    <row r="550" spans="1:7" s="191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1392</v>
      </c>
      <c r="E550" s="20" t="s">
        <v>273</v>
      </c>
      <c r="F550" s="27">
        <f>F551</f>
        <v>7226.1</v>
      </c>
      <c r="G550" s="27">
        <f>G551</f>
        <v>7226.1</v>
      </c>
    </row>
    <row r="551" spans="1:7" s="191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1392</v>
      </c>
      <c r="E551" s="20" t="s">
        <v>275</v>
      </c>
      <c r="F551" s="27">
        <f>'пр.4.1.ведом.22-23'!G618</f>
        <v>7226.1</v>
      </c>
      <c r="G551" s="27">
        <f>'пр.4.1.ведом.22-23'!H618</f>
        <v>7226.1</v>
      </c>
    </row>
    <row r="552" spans="1:7" s="191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1389</v>
      </c>
      <c r="E552" s="20"/>
      <c r="F552" s="6">
        <f>F553</f>
        <v>4610</v>
      </c>
      <c r="G552" s="6">
        <f>G553</f>
        <v>4610</v>
      </c>
    </row>
    <row r="553" spans="1:7" s="191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1389</v>
      </c>
      <c r="E553" s="20" t="s">
        <v>273</v>
      </c>
      <c r="F553" s="6">
        <f>F554</f>
        <v>4610</v>
      </c>
      <c r="G553" s="6">
        <f>G554</f>
        <v>4610</v>
      </c>
    </row>
    <row r="554" spans="1:7" s="191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1389</v>
      </c>
      <c r="E554" s="20" t="s">
        <v>275</v>
      </c>
      <c r="F554" s="6">
        <f>'пр.4.1.ведом.22-23'!G621</f>
        <v>4610</v>
      </c>
      <c r="G554" s="6">
        <f>'пр.4.1.ведом.22-23'!H621</f>
        <v>4610</v>
      </c>
    </row>
    <row r="555" spans="1:7" ht="102.75" customHeight="1" x14ac:dyDescent="0.25">
      <c r="A555" s="31" t="s">
        <v>1182</v>
      </c>
      <c r="B555" s="20" t="s">
        <v>264</v>
      </c>
      <c r="C555" s="20" t="s">
        <v>213</v>
      </c>
      <c r="D555" s="20" t="s">
        <v>1248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1248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1248</v>
      </c>
      <c r="E557" s="20" t="s">
        <v>275</v>
      </c>
      <c r="F557" s="6">
        <f>'пр.4.1.ведом.22-23'!G624</f>
        <v>115047.8</v>
      </c>
      <c r="G557" s="6">
        <f>'пр.4.1.ведом.22-23'!H624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1231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1231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1231</v>
      </c>
      <c r="E560" s="20" t="s">
        <v>275</v>
      </c>
      <c r="F560" s="6">
        <f>'пр.4.1.ведом.22-23'!G627</f>
        <v>1311</v>
      </c>
      <c r="G560" s="6">
        <f>'пр.4.1.ведом.22-23'!H627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1232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1232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1232</v>
      </c>
      <c r="E563" s="20" t="s">
        <v>275</v>
      </c>
      <c r="F563" s="6">
        <f>'пр.4.1.ведом.22-23'!G630</f>
        <v>2266.6999999999998</v>
      </c>
      <c r="G563" s="6">
        <f>'пр.4.1.ведом.22-23'!H630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1249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1249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1249</v>
      </c>
      <c r="E566" s="20" t="s">
        <v>275</v>
      </c>
      <c r="F566" s="6">
        <f>'пр.4.1.ведом.22-23'!G633</f>
        <v>909.3</v>
      </c>
      <c r="G566" s="6">
        <f>'пр.4.1.ведом.22-23'!H633</f>
        <v>909.3</v>
      </c>
    </row>
    <row r="567" spans="1:7" ht="31.5" x14ac:dyDescent="0.25">
      <c r="A567" s="23" t="s">
        <v>1302</v>
      </c>
      <c r="B567" s="24" t="s">
        <v>264</v>
      </c>
      <c r="C567" s="24" t="s">
        <v>213</v>
      </c>
      <c r="D567" s="24" t="s">
        <v>1235</v>
      </c>
      <c r="E567" s="24"/>
      <c r="F567" s="4">
        <f>F568+F571+F574+F577</f>
        <v>224</v>
      </c>
      <c r="G567" s="4">
        <f>G568+G571+G574+G577</f>
        <v>224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1315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1315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1315</v>
      </c>
      <c r="E570" s="20" t="s">
        <v>275</v>
      </c>
      <c r="F570" s="6">
        <f>'пр.4.1.ведом.22-23'!G637</f>
        <v>0</v>
      </c>
      <c r="G570" s="6">
        <f>'пр.4.1.ведом.22-23'!H637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1316</v>
      </c>
      <c r="E571" s="20"/>
      <c r="F571" s="6">
        <f t="shared" ref="F571:G571" si="54">F572</f>
        <v>0</v>
      </c>
      <c r="G571" s="6">
        <f t="shared" si="54"/>
        <v>0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1316</v>
      </c>
      <c r="E572" s="20" t="s">
        <v>273</v>
      </c>
      <c r="F572" s="6">
        <f>F573</f>
        <v>0</v>
      </c>
      <c r="G572" s="6">
        <f>G573</f>
        <v>0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1316</v>
      </c>
      <c r="E573" s="20" t="s">
        <v>275</v>
      </c>
      <c r="F573" s="6">
        <f>'пр.4.1.ведом.22-23'!G640</f>
        <v>0</v>
      </c>
      <c r="G573" s="6">
        <f>'пр.4.1.ведом.22-23'!H640</f>
        <v>0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1317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1317</v>
      </c>
      <c r="E575" s="20" t="s">
        <v>273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1317</v>
      </c>
      <c r="E576" s="20" t="s">
        <v>275</v>
      </c>
      <c r="F576" s="6">
        <f>'пр.4.1.ведом.22-23'!G643</f>
        <v>0</v>
      </c>
      <c r="G576" s="6">
        <f>'пр.4.1.ведом.22-23'!H643</f>
        <v>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1251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1251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1251</v>
      </c>
      <c r="E579" s="20" t="s">
        <v>275</v>
      </c>
      <c r="F579" s="6">
        <f>'пр.4.1.ведом.22-23'!G646</f>
        <v>224</v>
      </c>
      <c r="G579" s="6">
        <f>'пр.4.1.ведом.22-23'!H646</f>
        <v>224</v>
      </c>
    </row>
    <row r="580" spans="1:7" ht="47.25" x14ac:dyDescent="0.25">
      <c r="A580" s="203" t="s">
        <v>947</v>
      </c>
      <c r="B580" s="24" t="s">
        <v>264</v>
      </c>
      <c r="C580" s="24" t="s">
        <v>213</v>
      </c>
      <c r="D580" s="24" t="s">
        <v>1238</v>
      </c>
      <c r="E580" s="24"/>
      <c r="F580" s="4">
        <f>F581+F584</f>
        <v>2888</v>
      </c>
      <c r="G580" s="4">
        <f>G581+G584</f>
        <v>2888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1256</v>
      </c>
      <c r="E581" s="20"/>
      <c r="F581" s="6">
        <f>F582</f>
        <v>0</v>
      </c>
      <c r="G581" s="6">
        <f>G582</f>
        <v>0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1256</v>
      </c>
      <c r="E582" s="20" t="s">
        <v>273</v>
      </c>
      <c r="F582" s="6">
        <f>F583</f>
        <v>0</v>
      </c>
      <c r="G582" s="6">
        <f>G583</f>
        <v>0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1256</v>
      </c>
      <c r="E583" s="20" t="s">
        <v>275</v>
      </c>
      <c r="F583" s="6">
        <f>'пр.4.1.ведом.22-23'!G650</f>
        <v>0</v>
      </c>
      <c r="G583" s="6">
        <f>'пр.4.1.ведом.22-23'!H650</f>
        <v>0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1239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1239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0" t="s">
        <v>274</v>
      </c>
      <c r="B586" s="20" t="s">
        <v>264</v>
      </c>
      <c r="C586" s="20" t="s">
        <v>213</v>
      </c>
      <c r="D586" s="20" t="s">
        <v>1239</v>
      </c>
      <c r="E586" s="20" t="s">
        <v>275</v>
      </c>
      <c r="F586" s="6">
        <f>'пр.4.1.ведом.22-23'!G653</f>
        <v>2888</v>
      </c>
      <c r="G586" s="6">
        <f>'пр.4.1.ведом.22-23'!H653</f>
        <v>2888</v>
      </c>
    </row>
    <row r="587" spans="1:7" ht="31.5" x14ac:dyDescent="0.25">
      <c r="A587" s="23" t="s">
        <v>937</v>
      </c>
      <c r="B587" s="24" t="s">
        <v>264</v>
      </c>
      <c r="C587" s="24" t="s">
        <v>213</v>
      </c>
      <c r="D587" s="24" t="s">
        <v>1252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1253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1253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1253</v>
      </c>
      <c r="E590" s="20" t="s">
        <v>275</v>
      </c>
      <c r="F590" s="6">
        <f>'пр.4.1.ведом.22-23'!G657</f>
        <v>3931.8</v>
      </c>
      <c r="G590" s="6">
        <f>'пр.4.1.ведом.22-23'!H657</f>
        <v>3865.2</v>
      </c>
    </row>
    <row r="591" spans="1:7" ht="31.5" x14ac:dyDescent="0.25">
      <c r="A591" s="23" t="s">
        <v>938</v>
      </c>
      <c r="B591" s="24" t="s">
        <v>264</v>
      </c>
      <c r="C591" s="24" t="s">
        <v>213</v>
      </c>
      <c r="D591" s="24" t="s">
        <v>1254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1255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1255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1255</v>
      </c>
      <c r="E594" s="20" t="s">
        <v>275</v>
      </c>
      <c r="F594" s="6">
        <f>'пр.4.1.ведом.22-23'!G661</f>
        <v>1384.6</v>
      </c>
      <c r="G594" s="6">
        <f>'пр.4.1.ведом.22-23'!H661</f>
        <v>1384.6</v>
      </c>
    </row>
    <row r="595" spans="1:7" ht="31.5" x14ac:dyDescent="0.25">
      <c r="A595" s="201" t="s">
        <v>939</v>
      </c>
      <c r="B595" s="24" t="s">
        <v>264</v>
      </c>
      <c r="C595" s="24" t="s">
        <v>213</v>
      </c>
      <c r="D595" s="24" t="s">
        <v>1257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0" t="s">
        <v>827</v>
      </c>
      <c r="B596" s="20" t="s">
        <v>264</v>
      </c>
      <c r="C596" s="20" t="s">
        <v>213</v>
      </c>
      <c r="D596" s="20" t="s">
        <v>1422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1422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1422</v>
      </c>
      <c r="E598" s="20" t="s">
        <v>275</v>
      </c>
      <c r="F598" s="6">
        <f>'пр.4.1.ведом.22-23'!G665</f>
        <v>755.8</v>
      </c>
      <c r="G598" s="6">
        <f>'пр.4.1.ведом.22-23'!H665</f>
        <v>759</v>
      </c>
    </row>
    <row r="599" spans="1:7" s="191" customFormat="1" ht="31.5" hidden="1" x14ac:dyDescent="0.25">
      <c r="A599" s="301" t="s">
        <v>1421</v>
      </c>
      <c r="B599" s="20" t="s">
        <v>264</v>
      </c>
      <c r="C599" s="20" t="s">
        <v>213</v>
      </c>
      <c r="D599" s="20" t="s">
        <v>1423</v>
      </c>
      <c r="E599" s="20"/>
      <c r="F599" s="26">
        <f>F600</f>
        <v>0</v>
      </c>
      <c r="G599" s="6">
        <f>G600</f>
        <v>0</v>
      </c>
    </row>
    <row r="600" spans="1:7" s="191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1423</v>
      </c>
      <c r="E600" s="20" t="s">
        <v>273</v>
      </c>
      <c r="F600" s="26">
        <f>F601</f>
        <v>0</v>
      </c>
      <c r="G600" s="6">
        <f>G601</f>
        <v>0</v>
      </c>
    </row>
    <row r="601" spans="1:7" s="191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1423</v>
      </c>
      <c r="E601" s="20" t="s">
        <v>275</v>
      </c>
      <c r="F601" s="26">
        <v>0</v>
      </c>
      <c r="G601" s="6">
        <v>0</v>
      </c>
    </row>
    <row r="602" spans="1:7" s="191" customFormat="1" ht="47.25" x14ac:dyDescent="0.25">
      <c r="A602" s="268" t="s">
        <v>1404</v>
      </c>
      <c r="B602" s="24" t="s">
        <v>264</v>
      </c>
      <c r="C602" s="24" t="s">
        <v>213</v>
      </c>
      <c r="D602" s="24" t="s">
        <v>1403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191" customFormat="1" ht="78.75" x14ac:dyDescent="0.25">
      <c r="A603" s="267" t="s">
        <v>1390</v>
      </c>
      <c r="B603" s="20" t="s">
        <v>264</v>
      </c>
      <c r="C603" s="20" t="s">
        <v>213</v>
      </c>
      <c r="D603" s="20" t="s">
        <v>1442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191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1442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191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1442</v>
      </c>
      <c r="E605" s="20" t="s">
        <v>275</v>
      </c>
      <c r="F605" s="26">
        <f>'пр.4.1.ведом.22-23'!G672</f>
        <v>5415.6500000000005</v>
      </c>
      <c r="G605" s="6">
        <f>'пр.4.1.ведом.22-23'!H672</f>
        <v>5142.4500000000007</v>
      </c>
    </row>
    <row r="606" spans="1:7" s="191" customFormat="1" ht="31.5" x14ac:dyDescent="0.25">
      <c r="A606" s="34" t="s">
        <v>1457</v>
      </c>
      <c r="B606" s="24" t="s">
        <v>264</v>
      </c>
      <c r="C606" s="24" t="s">
        <v>213</v>
      </c>
      <c r="D606" s="24" t="s">
        <v>1455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191" customFormat="1" ht="47.25" x14ac:dyDescent="0.25">
      <c r="A607" s="31" t="s">
        <v>1504</v>
      </c>
      <c r="B607" s="20" t="s">
        <v>264</v>
      </c>
      <c r="C607" s="20" t="s">
        <v>213</v>
      </c>
      <c r="D607" s="20" t="s">
        <v>1456</v>
      </c>
      <c r="E607" s="20"/>
      <c r="F607" s="26">
        <f t="shared" si="61"/>
        <v>1749.4499999999998</v>
      </c>
      <c r="G607" s="26">
        <f t="shared" si="61"/>
        <v>2341</v>
      </c>
    </row>
    <row r="608" spans="1:7" s="191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1456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191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1456</v>
      </c>
      <c r="E609" s="20" t="s">
        <v>275</v>
      </c>
      <c r="F609" s="26">
        <f>'пр.4.1.ведом.22-23'!G680</f>
        <v>1749.4499999999998</v>
      </c>
      <c r="G609" s="26">
        <f>'пр.4.1.ведом.22-23'!H680</f>
        <v>2341</v>
      </c>
    </row>
    <row r="610" spans="1:7" ht="63" x14ac:dyDescent="0.25">
      <c r="A610" s="34" t="s">
        <v>1356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1023</v>
      </c>
      <c r="B611" s="24" t="s">
        <v>264</v>
      </c>
      <c r="C611" s="24" t="s">
        <v>213</v>
      </c>
      <c r="D611" s="24" t="s">
        <v>933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1007</v>
      </c>
      <c r="B612" s="20" t="s">
        <v>264</v>
      </c>
      <c r="C612" s="20" t="s">
        <v>213</v>
      </c>
      <c r="D612" s="20" t="s">
        <v>934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934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934</v>
      </c>
      <c r="E614" s="20" t="s">
        <v>275</v>
      </c>
      <c r="F614" s="6">
        <f>'пр.5.1.МП 22-23'!G621</f>
        <v>60</v>
      </c>
      <c r="G614" s="6">
        <f>'пр.5.1.МП 22-23'!H621</f>
        <v>70</v>
      </c>
    </row>
    <row r="615" spans="1:7" ht="63" x14ac:dyDescent="0.25">
      <c r="A615" s="41" t="s">
        <v>1351</v>
      </c>
      <c r="B615" s="24" t="s">
        <v>264</v>
      </c>
      <c r="C615" s="24" t="s">
        <v>213</v>
      </c>
      <c r="D615" s="24" t="s">
        <v>705</v>
      </c>
      <c r="E615" s="206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889</v>
      </c>
      <c r="B616" s="24" t="s">
        <v>264</v>
      </c>
      <c r="C616" s="24" t="s">
        <v>213</v>
      </c>
      <c r="D616" s="24" t="s">
        <v>887</v>
      </c>
      <c r="E616" s="206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935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935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0" t="s">
        <v>274</v>
      </c>
      <c r="B619" s="20" t="s">
        <v>264</v>
      </c>
      <c r="C619" s="20" t="s">
        <v>213</v>
      </c>
      <c r="D619" s="20" t="s">
        <v>935</v>
      </c>
      <c r="E619" s="32" t="s">
        <v>275</v>
      </c>
      <c r="F619" s="6">
        <f>'пр.4.1.ведом.22-23'!G690</f>
        <v>870.5</v>
      </c>
      <c r="G619" s="6">
        <f>'пр.4.1.ведом.22-23'!H690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1357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936</v>
      </c>
      <c r="B622" s="24" t="s">
        <v>264</v>
      </c>
      <c r="C622" s="24" t="s">
        <v>215</v>
      </c>
      <c r="D622" s="24" t="s">
        <v>1228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1258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1258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1258</v>
      </c>
      <c r="E625" s="20" t="s">
        <v>275</v>
      </c>
      <c r="F625" s="6">
        <f>'пр.4.1.ведом.22-23'!G696</f>
        <v>37056.300000000003</v>
      </c>
      <c r="G625" s="6">
        <f>'пр.4.1.ведом.22-23'!H696</f>
        <v>37056.300000000003</v>
      </c>
    </row>
    <row r="626" spans="1:7" ht="47.25" x14ac:dyDescent="0.25">
      <c r="A626" s="23" t="s">
        <v>899</v>
      </c>
      <c r="B626" s="24" t="s">
        <v>264</v>
      </c>
      <c r="C626" s="24" t="s">
        <v>215</v>
      </c>
      <c r="D626" s="24" t="s">
        <v>1230</v>
      </c>
      <c r="E626" s="24"/>
      <c r="F626" s="4">
        <f>F630+F633+F627</f>
        <v>2128.5</v>
      </c>
      <c r="G626" s="4">
        <f>G630+G633+G627</f>
        <v>2128.5</v>
      </c>
    </row>
    <row r="627" spans="1:7" s="191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1389</v>
      </c>
      <c r="E627" s="20"/>
      <c r="F627" s="6">
        <f>F628</f>
        <v>1400</v>
      </c>
      <c r="G627" s="6">
        <f>G628</f>
        <v>1400</v>
      </c>
    </row>
    <row r="628" spans="1:7" s="191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1389</v>
      </c>
      <c r="E628" s="20" t="s">
        <v>273</v>
      </c>
      <c r="F628" s="6">
        <f>F629</f>
        <v>1400</v>
      </c>
      <c r="G628" s="6">
        <f>G629</f>
        <v>1400</v>
      </c>
    </row>
    <row r="629" spans="1:7" s="191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1389</v>
      </c>
      <c r="E629" s="20" t="s">
        <v>275</v>
      </c>
      <c r="F629" s="6">
        <f>'пр.4.1.ведом.22-23'!G700</f>
        <v>1400</v>
      </c>
      <c r="G629" s="6">
        <f>'пр.4.1.ведом.22-23'!H700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1231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1231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1231</v>
      </c>
      <c r="E632" s="20" t="s">
        <v>275</v>
      </c>
      <c r="F632" s="6">
        <f>'пр.4.1.ведом.22-23'!G703</f>
        <v>179</v>
      </c>
      <c r="G632" s="6">
        <f>'пр.4.1.ведом.22-23'!H703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1232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1232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1232</v>
      </c>
      <c r="E635" s="20" t="s">
        <v>275</v>
      </c>
      <c r="F635" s="6">
        <f>'пр.4.1.ведом.22-23'!G706</f>
        <v>549.5</v>
      </c>
      <c r="G635" s="6">
        <f>'пр.4.1.ведом.22-23'!H706</f>
        <v>549.5</v>
      </c>
    </row>
    <row r="636" spans="1:7" ht="31.5" hidden="1" x14ac:dyDescent="0.25">
      <c r="A636" s="23" t="s">
        <v>1290</v>
      </c>
      <c r="B636" s="24" t="s">
        <v>264</v>
      </c>
      <c r="C636" s="24" t="s">
        <v>215</v>
      </c>
      <c r="D636" s="24" t="s">
        <v>1235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1327</v>
      </c>
      <c r="E637" s="20"/>
      <c r="F637" s="6">
        <f>'Пр.3 Рд,пр, ЦС,ВР 21'!F727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1327</v>
      </c>
      <c r="E638" s="20" t="s">
        <v>273</v>
      </c>
      <c r="F638" s="6">
        <f>'Пр.3 Рд,пр, ЦС,ВР 21'!F728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1327</v>
      </c>
      <c r="E639" s="20" t="s">
        <v>275</v>
      </c>
      <c r="F639" s="6">
        <f>'Пр.3 Рд,пр, ЦС,ВР 21'!F729</f>
        <v>0</v>
      </c>
      <c r="G639" s="6">
        <f t="shared" si="65"/>
        <v>0</v>
      </c>
    </row>
    <row r="640" spans="1:7" ht="47.25" x14ac:dyDescent="0.25">
      <c r="A640" s="203" t="s">
        <v>947</v>
      </c>
      <c r="B640" s="24" t="s">
        <v>264</v>
      </c>
      <c r="C640" s="24" t="s">
        <v>215</v>
      </c>
      <c r="D640" s="24" t="s">
        <v>1238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1239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1239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1239</v>
      </c>
      <c r="E643" s="20" t="s">
        <v>275</v>
      </c>
      <c r="F643" s="6">
        <f>'пр.4.1.ведом.22-23'!G714</f>
        <v>1564</v>
      </c>
      <c r="G643" s="6">
        <f>'пр.4.1.ведом.22-23'!H714</f>
        <v>1564</v>
      </c>
    </row>
    <row r="644" spans="1:7" ht="47.25" x14ac:dyDescent="0.25">
      <c r="A644" s="23" t="s">
        <v>1350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1297</v>
      </c>
      <c r="B645" s="24" t="s">
        <v>264</v>
      </c>
      <c r="C645" s="24" t="s">
        <v>215</v>
      </c>
      <c r="D645" s="24" t="s">
        <v>1201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1202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1202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1202</v>
      </c>
      <c r="E648" s="20" t="s">
        <v>209</v>
      </c>
      <c r="F648" s="6">
        <f>'пр.4.1.ведом.22-23'!G299</f>
        <v>14172.31</v>
      </c>
      <c r="G648" s="6">
        <f>'пр.4.1.ведом.22-23'!H299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1202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1202</v>
      </c>
      <c r="E650" s="20" t="s">
        <v>134</v>
      </c>
      <c r="F650" s="6">
        <f>'пр.4.1.ведом.22-23'!G301</f>
        <v>1603.7</v>
      </c>
      <c r="G650" s="6">
        <f>'пр.4.1.ведом.22-23'!H301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1202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1202</v>
      </c>
      <c r="E652" s="20" t="s">
        <v>138</v>
      </c>
      <c r="F652" s="6">
        <f>'пр.4.1.ведом.22-23'!G303</f>
        <v>78</v>
      </c>
      <c r="G652" s="6">
        <f>'пр.4.1.ведом.22-23'!H303</f>
        <v>78</v>
      </c>
    </row>
    <row r="653" spans="1:7" ht="31.5" x14ac:dyDescent="0.25">
      <c r="A653" s="200" t="s">
        <v>1299</v>
      </c>
      <c r="B653" s="24" t="s">
        <v>264</v>
      </c>
      <c r="C653" s="24" t="s">
        <v>215</v>
      </c>
      <c r="D653" s="24" t="s">
        <v>1203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88" t="s">
        <v>799</v>
      </c>
      <c r="B654" s="20" t="s">
        <v>264</v>
      </c>
      <c r="C654" s="20" t="s">
        <v>215</v>
      </c>
      <c r="D654" s="20" t="s">
        <v>1204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1204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819</v>
      </c>
      <c r="B656" s="20" t="s">
        <v>264</v>
      </c>
      <c r="C656" s="20" t="s">
        <v>215</v>
      </c>
      <c r="D656" s="20" t="s">
        <v>1204</v>
      </c>
      <c r="E656" s="20" t="s">
        <v>818</v>
      </c>
      <c r="F656" s="6">
        <f>'пр.4.1.ведом.22-23'!G307</f>
        <v>45</v>
      </c>
      <c r="G656" s="6">
        <f>'пр.4.1.ведом.22-23'!H307</f>
        <v>45</v>
      </c>
    </row>
    <row r="657" spans="1:7" ht="31.5" x14ac:dyDescent="0.25">
      <c r="A657" s="31" t="s">
        <v>815</v>
      </c>
      <c r="B657" s="20" t="s">
        <v>264</v>
      </c>
      <c r="C657" s="20" t="s">
        <v>215</v>
      </c>
      <c r="D657" s="20" t="s">
        <v>1205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1205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1205</v>
      </c>
      <c r="E659" s="20" t="s">
        <v>209</v>
      </c>
      <c r="F659" s="6">
        <f>'пр.4.1.ведом.22-23'!G310</f>
        <v>1250</v>
      </c>
      <c r="G659" s="6">
        <f>'пр.4.1.ведом.22-23'!H310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1205</v>
      </c>
      <c r="E660" s="20" t="s">
        <v>132</v>
      </c>
      <c r="F660" s="6">
        <f>'Пр.3 Рд,пр, ЦС,ВР 21'!F760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1205</v>
      </c>
      <c r="E661" s="20" t="s">
        <v>134</v>
      </c>
      <c r="F661" s="6">
        <f>'Пр.3 Рд,пр, ЦС,ВР 21'!F761</f>
        <v>0</v>
      </c>
      <c r="G661" s="6">
        <f t="shared" si="65"/>
        <v>0</v>
      </c>
    </row>
    <row r="662" spans="1:7" ht="47.25" x14ac:dyDescent="0.25">
      <c r="A662" s="23" t="s">
        <v>946</v>
      </c>
      <c r="B662" s="24" t="s">
        <v>264</v>
      </c>
      <c r="C662" s="24" t="s">
        <v>215</v>
      </c>
      <c r="D662" s="24" t="s">
        <v>1206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838</v>
      </c>
      <c r="B663" s="20" t="s">
        <v>264</v>
      </c>
      <c r="C663" s="20" t="s">
        <v>215</v>
      </c>
      <c r="D663" s="20" t="s">
        <v>1207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1207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1207</v>
      </c>
      <c r="E665" s="20" t="s">
        <v>209</v>
      </c>
      <c r="F665" s="6">
        <f>'пр.4.1.ведом.22-23'!G316</f>
        <v>506</v>
      </c>
      <c r="G665" s="6">
        <f>'пр.4.1.ведом.22-23'!H316</f>
        <v>506</v>
      </c>
    </row>
    <row r="666" spans="1:7" ht="56.25" customHeight="1" x14ac:dyDescent="0.25">
      <c r="A666" s="23" t="s">
        <v>899</v>
      </c>
      <c r="B666" s="24" t="s">
        <v>264</v>
      </c>
      <c r="C666" s="24" t="s">
        <v>215</v>
      </c>
      <c r="D666" s="24" t="s">
        <v>1208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191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1402</v>
      </c>
      <c r="E667" s="20"/>
      <c r="F667" s="6">
        <f>F668</f>
        <v>671</v>
      </c>
      <c r="G667" s="6">
        <f>G668</f>
        <v>671</v>
      </c>
    </row>
    <row r="668" spans="1:7" s="191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1402</v>
      </c>
      <c r="E668" s="20" t="s">
        <v>128</v>
      </c>
      <c r="F668" s="6">
        <f>F669</f>
        <v>671</v>
      </c>
      <c r="G668" s="6">
        <f>G669</f>
        <v>671</v>
      </c>
    </row>
    <row r="669" spans="1:7" s="191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1402</v>
      </c>
      <c r="E669" s="20" t="s">
        <v>209</v>
      </c>
      <c r="F669" s="6">
        <f>'пр.4.1.ведом.22-23'!G320</f>
        <v>671</v>
      </c>
      <c r="G669" s="6">
        <f>'пр.4.1.ведом.22-23'!H320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1209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1209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1209</v>
      </c>
      <c r="E672" s="20" t="s">
        <v>209</v>
      </c>
      <c r="F672" s="6">
        <f>'пр.4.1.ведом.22-23'!G323</f>
        <v>106</v>
      </c>
      <c r="G672" s="6">
        <f>'пр.4.1.ведом.22-23'!H323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1210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1210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1210</v>
      </c>
      <c r="E675" s="20" t="s">
        <v>209</v>
      </c>
      <c r="F675" s="6">
        <f>'пр.4.1.ведом.22-23'!G326</f>
        <v>298.39999999999998</v>
      </c>
      <c r="G675" s="6">
        <f>'пр.4.1.ведом.22-23'!H326</f>
        <v>298.39999999999998</v>
      </c>
    </row>
    <row r="676" spans="1:7" s="191" customFormat="1" ht="63" x14ac:dyDescent="0.25">
      <c r="A676" s="34" t="s">
        <v>1218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191" customFormat="1" ht="63" x14ac:dyDescent="0.25">
      <c r="A677" s="34" t="s">
        <v>1024</v>
      </c>
      <c r="B677" s="24" t="s">
        <v>264</v>
      </c>
      <c r="C677" s="24" t="s">
        <v>215</v>
      </c>
      <c r="D677" s="24" t="s">
        <v>933</v>
      </c>
      <c r="E677" s="24"/>
      <c r="F677" s="21">
        <f>F680</f>
        <v>6</v>
      </c>
      <c r="G677" s="21">
        <f>G680</f>
        <v>0</v>
      </c>
    </row>
    <row r="678" spans="1:7" s="191" customFormat="1" ht="47.25" x14ac:dyDescent="0.25">
      <c r="A678" s="31" t="s">
        <v>1081</v>
      </c>
      <c r="B678" s="20" t="s">
        <v>264</v>
      </c>
      <c r="C678" s="20" t="s">
        <v>215</v>
      </c>
      <c r="D678" s="20" t="s">
        <v>1025</v>
      </c>
      <c r="E678" s="20"/>
      <c r="F678" s="26">
        <f>F679</f>
        <v>6</v>
      </c>
      <c r="G678" s="26">
        <f>G679</f>
        <v>0</v>
      </c>
    </row>
    <row r="679" spans="1:7" s="191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1025</v>
      </c>
      <c r="E679" s="20" t="s">
        <v>132</v>
      </c>
      <c r="F679" s="26">
        <f>F680</f>
        <v>6</v>
      </c>
      <c r="G679" s="26">
        <f>G680</f>
        <v>0</v>
      </c>
    </row>
    <row r="680" spans="1:7" s="191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1025</v>
      </c>
      <c r="E680" s="20" t="s">
        <v>134</v>
      </c>
      <c r="F680" s="26">
        <f>'пр.4.1.ведом.22-23'!G331</f>
        <v>6</v>
      </c>
      <c r="G680" s="26">
        <f>'пр.4.1.ведом.22-23'!H331</f>
        <v>0</v>
      </c>
    </row>
    <row r="681" spans="1:7" ht="63" x14ac:dyDescent="0.25">
      <c r="A681" s="41" t="s">
        <v>1351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889</v>
      </c>
      <c r="B682" s="24" t="s">
        <v>264</v>
      </c>
      <c r="C682" s="24" t="s">
        <v>215</v>
      </c>
      <c r="D682" s="24" t="s">
        <v>887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1003</v>
      </c>
      <c r="B683" s="20" t="s">
        <v>264</v>
      </c>
      <c r="C683" s="20" t="s">
        <v>215</v>
      </c>
      <c r="D683" s="20" t="s">
        <v>888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888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888</v>
      </c>
      <c r="E685" s="32" t="s">
        <v>134</v>
      </c>
      <c r="F685" s="6">
        <f>'пр.4.1.ведом.22-23'!G336</f>
        <v>490.2</v>
      </c>
      <c r="G685" s="6">
        <f>'пр.4.1.ведом.22-23'!H336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935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935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0" t="s">
        <v>274</v>
      </c>
      <c r="B688" s="20" t="s">
        <v>264</v>
      </c>
      <c r="C688" s="20" t="s">
        <v>215</v>
      </c>
      <c r="D688" s="20" t="s">
        <v>935</v>
      </c>
      <c r="E688" s="32" t="s">
        <v>275</v>
      </c>
      <c r="F688" s="6">
        <f>'пр.4.1.ведом.22-23'!G719</f>
        <v>302.7</v>
      </c>
      <c r="G688" s="6">
        <f>'пр.4.1.ведом.22-23'!H719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06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1371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195" t="s">
        <v>1029</v>
      </c>
      <c r="B692" s="24" t="s">
        <v>264</v>
      </c>
      <c r="C692" s="24" t="s">
        <v>264</v>
      </c>
      <c r="D692" s="24" t="s">
        <v>891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1035</v>
      </c>
      <c r="B693" s="20" t="s">
        <v>264</v>
      </c>
      <c r="C693" s="20" t="s">
        <v>264</v>
      </c>
      <c r="D693" s="20" t="s">
        <v>892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892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892</v>
      </c>
      <c r="E695" s="20" t="s">
        <v>209</v>
      </c>
      <c r="F695" s="6">
        <f>'пр.4.1.ведом.22-23'!G343</f>
        <v>280</v>
      </c>
      <c r="G695" s="6">
        <f>'пр.4.1.ведом.22-23'!H343</f>
        <v>280</v>
      </c>
    </row>
    <row r="696" spans="1:7" ht="31.5" hidden="1" x14ac:dyDescent="0.25">
      <c r="A696" s="25" t="s">
        <v>1030</v>
      </c>
      <c r="B696" s="20" t="s">
        <v>264</v>
      </c>
      <c r="C696" s="20" t="s">
        <v>264</v>
      </c>
      <c r="D696" s="20" t="s">
        <v>1047</v>
      </c>
      <c r="E696" s="20"/>
      <c r="F696" s="6">
        <f>'Пр.3 Рд,пр, ЦС,ВР 21'!F796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1047</v>
      </c>
      <c r="E697" s="20" t="s">
        <v>132</v>
      </c>
      <c r="F697" s="6">
        <f>'Пр.3 Рд,пр, ЦС,ВР 21'!F797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1047</v>
      </c>
      <c r="E698" s="20" t="s">
        <v>134</v>
      </c>
      <c r="F698" s="6">
        <f>'Пр.3 Рд,пр, ЦС,ВР 21'!F798</f>
        <v>0</v>
      </c>
      <c r="G698" s="6">
        <f t="shared" si="70"/>
        <v>0</v>
      </c>
    </row>
    <row r="699" spans="1:7" ht="78.75" x14ac:dyDescent="0.25">
      <c r="A699" s="23" t="s">
        <v>1031</v>
      </c>
      <c r="B699" s="24" t="s">
        <v>264</v>
      </c>
      <c r="C699" s="24" t="s">
        <v>264</v>
      </c>
      <c r="D699" s="24" t="s">
        <v>893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1032</v>
      </c>
      <c r="B700" s="20" t="s">
        <v>264</v>
      </c>
      <c r="C700" s="20" t="s">
        <v>264</v>
      </c>
      <c r="D700" s="20" t="s">
        <v>900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900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900</v>
      </c>
      <c r="E702" s="20" t="s">
        <v>209</v>
      </c>
      <c r="F702" s="6">
        <f>'пр.4.1.ведом.22-23'!G350</f>
        <v>40</v>
      </c>
      <c r="G702" s="6">
        <f>'пр.4.1.ведом.22-23'!H350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900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900</v>
      </c>
      <c r="E704" s="20" t="s">
        <v>134</v>
      </c>
      <c r="F704" s="6">
        <f>'пр.4.1.ведом.22-23'!G352</f>
        <v>415</v>
      </c>
      <c r="G704" s="6">
        <f>'пр.4.1.ведом.22-23'!H352</f>
        <v>480</v>
      </c>
    </row>
    <row r="705" spans="1:7" ht="47.25" x14ac:dyDescent="0.25">
      <c r="A705" s="23" t="s">
        <v>1037</v>
      </c>
      <c r="B705" s="24" t="s">
        <v>264</v>
      </c>
      <c r="C705" s="24" t="s">
        <v>264</v>
      </c>
      <c r="D705" s="24" t="s">
        <v>1033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15" t="s">
        <v>1034</v>
      </c>
      <c r="B706" s="20" t="s">
        <v>264</v>
      </c>
      <c r="C706" s="20" t="s">
        <v>264</v>
      </c>
      <c r="D706" s="20" t="s">
        <v>1048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1048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1194</v>
      </c>
      <c r="B708" s="20" t="s">
        <v>264</v>
      </c>
      <c r="C708" s="20" t="s">
        <v>264</v>
      </c>
      <c r="D708" s="20" t="s">
        <v>1048</v>
      </c>
      <c r="E708" s="20" t="s">
        <v>1193</v>
      </c>
      <c r="F708" s="6">
        <f>'пр.4.1.ведом.22-23'!G356</f>
        <v>25</v>
      </c>
      <c r="G708" s="6">
        <f>'пр.4.1.ведом.22-23'!H356</f>
        <v>25</v>
      </c>
    </row>
    <row r="709" spans="1:7" ht="47.25" x14ac:dyDescent="0.25">
      <c r="A709" s="23" t="s">
        <v>1357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942</v>
      </c>
      <c r="B710" s="24" t="s">
        <v>264</v>
      </c>
      <c r="C710" s="24" t="s">
        <v>264</v>
      </c>
      <c r="D710" s="24" t="s">
        <v>1237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1060</v>
      </c>
      <c r="B711" s="20" t="s">
        <v>264</v>
      </c>
      <c r="C711" s="20" t="s">
        <v>264</v>
      </c>
      <c r="D711" s="20" t="s">
        <v>1259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1259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1259</v>
      </c>
      <c r="E713" s="20" t="s">
        <v>275</v>
      </c>
      <c r="F713" s="6">
        <f>'пр.4.1.ведом.22-23'!G725</f>
        <v>5745.1</v>
      </c>
      <c r="G713" s="6">
        <f>'пр.4.1.ведом.22-23'!H725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916</v>
      </c>
      <c r="B715" s="24" t="s">
        <v>264</v>
      </c>
      <c r="C715" s="24" t="s">
        <v>219</v>
      </c>
      <c r="D715" s="24" t="s">
        <v>857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917</v>
      </c>
      <c r="B716" s="24" t="s">
        <v>264</v>
      </c>
      <c r="C716" s="24" t="s">
        <v>219</v>
      </c>
      <c r="D716" s="24" t="s">
        <v>858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896</v>
      </c>
      <c r="B717" s="20" t="s">
        <v>264</v>
      </c>
      <c r="C717" s="20" t="s">
        <v>219</v>
      </c>
      <c r="D717" s="20" t="s">
        <v>859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859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859</v>
      </c>
      <c r="E719" s="20" t="s">
        <v>130</v>
      </c>
      <c r="F719" s="6">
        <f>'пр.4.1.ведом.22-23'!G734</f>
        <v>5710.7</v>
      </c>
      <c r="G719" s="6">
        <f>'пр.4.1.ведом.22-23'!H734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859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859</v>
      </c>
      <c r="E721" s="20" t="s">
        <v>134</v>
      </c>
      <c r="F721" s="6">
        <f>'пр.4.1.ведом.22-23'!G736</f>
        <v>212</v>
      </c>
      <c r="G721" s="6">
        <f>'пр.4.1.ведом.22-23'!H736</f>
        <v>212</v>
      </c>
    </row>
    <row r="722" spans="1:7" ht="47.25" x14ac:dyDescent="0.25">
      <c r="A722" s="25" t="s">
        <v>838</v>
      </c>
      <c r="B722" s="20" t="s">
        <v>264</v>
      </c>
      <c r="C722" s="20" t="s">
        <v>219</v>
      </c>
      <c r="D722" s="20" t="s">
        <v>861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861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861</v>
      </c>
      <c r="E724" s="20" t="s">
        <v>130</v>
      </c>
      <c r="F724" s="6">
        <f>'пр.4.1.ведом.22-23'!G739</f>
        <v>126</v>
      </c>
      <c r="G724" s="6">
        <f>'пр.4.1.ведом.22-23'!H739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865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869</v>
      </c>
      <c r="B726" s="24" t="s">
        <v>264</v>
      </c>
      <c r="C726" s="24" t="s">
        <v>219</v>
      </c>
      <c r="D726" s="24" t="s">
        <v>864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943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943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943</v>
      </c>
      <c r="E729" s="20" t="s">
        <v>134</v>
      </c>
      <c r="F729" s="6">
        <f>'пр.4.1.ведом.22-23'!G744</f>
        <v>300</v>
      </c>
      <c r="G729" s="6">
        <f>'пр.4.1.ведом.22-23'!H744</f>
        <v>300</v>
      </c>
    </row>
    <row r="730" spans="1:7" ht="36" customHeight="1" x14ac:dyDescent="0.25">
      <c r="A730" s="23" t="s">
        <v>928</v>
      </c>
      <c r="B730" s="24" t="s">
        <v>264</v>
      </c>
      <c r="C730" s="24" t="s">
        <v>219</v>
      </c>
      <c r="D730" s="24" t="s">
        <v>913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902</v>
      </c>
      <c r="B731" s="20" t="s">
        <v>264</v>
      </c>
      <c r="C731" s="20" t="s">
        <v>219</v>
      </c>
      <c r="D731" s="20" t="s">
        <v>914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914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914</v>
      </c>
      <c r="E733" s="20" t="s">
        <v>209</v>
      </c>
      <c r="F733" s="6">
        <f>'пр.4.1.ведом.22-23'!G748</f>
        <v>11885.1</v>
      </c>
      <c r="G733" s="6">
        <f>'пр.4.1.ведом.22-23'!H748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914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914</v>
      </c>
      <c r="E735" s="20" t="s">
        <v>134</v>
      </c>
      <c r="F735" s="6">
        <f>'пр.4.1.ведом.22-23'!G750</f>
        <v>1077</v>
      </c>
      <c r="G735" s="6">
        <f>'пр.4.1.ведом.22-23'!H750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914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914</v>
      </c>
      <c r="E737" s="20" t="s">
        <v>138</v>
      </c>
      <c r="F737" s="6">
        <f>'пр.4.1.ведом.22-23'!G752</f>
        <v>15</v>
      </c>
      <c r="G737" s="6">
        <f>'пр.4.1.ведом.22-23'!H752</f>
        <v>15</v>
      </c>
    </row>
    <row r="738" spans="1:9" ht="47.25" x14ac:dyDescent="0.25">
      <c r="A738" s="25" t="s">
        <v>838</v>
      </c>
      <c r="B738" s="20" t="s">
        <v>264</v>
      </c>
      <c r="C738" s="20" t="s">
        <v>219</v>
      </c>
      <c r="D738" s="20" t="s">
        <v>915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915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915</v>
      </c>
      <c r="E740" s="20" t="s">
        <v>130</v>
      </c>
      <c r="F740" s="6">
        <f>'пр.4.1.ведом.22-23'!G755</f>
        <v>506</v>
      </c>
      <c r="G740" s="6">
        <f>'пр.4.1.ведом.22-23'!H755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78971.679999999993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60376.279999999992</v>
      </c>
      <c r="H742" s="216">
        <f>H741-F741</f>
        <v>-4041.2799999999988</v>
      </c>
      <c r="I742" s="216">
        <f>I741-G741</f>
        <v>-5341.4799999999959</v>
      </c>
    </row>
    <row r="743" spans="1:9" ht="47.25" x14ac:dyDescent="0.25">
      <c r="A743" s="23" t="s">
        <v>1350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59462.37999999999</v>
      </c>
    </row>
    <row r="744" spans="1:9" ht="47.25" x14ac:dyDescent="0.25">
      <c r="A744" s="23" t="s">
        <v>1297</v>
      </c>
      <c r="B744" s="24" t="s">
        <v>299</v>
      </c>
      <c r="C744" s="24" t="s">
        <v>118</v>
      </c>
      <c r="D744" s="24" t="s">
        <v>1201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1202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1202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1202</v>
      </c>
      <c r="E747" s="20" t="s">
        <v>209</v>
      </c>
      <c r="F747" s="6">
        <f>'пр.4.1.ведом.22-23'!G363</f>
        <v>43271.28</v>
      </c>
      <c r="G747" s="6">
        <f>'пр.4.1.ведом.22-23'!H363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1202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1202</v>
      </c>
      <c r="E749" s="20" t="s">
        <v>134</v>
      </c>
      <c r="F749" s="6">
        <f>'пр.4.1.ведом.22-23'!G365</f>
        <v>8506.2000000000007</v>
      </c>
      <c r="G749" s="6">
        <f>'пр.4.1.ведом.22-23'!H365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1202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1202</v>
      </c>
      <c r="E751" s="20" t="s">
        <v>138</v>
      </c>
      <c r="F751" s="6">
        <f>'пр.4.1.ведом.22-23'!G367</f>
        <v>63</v>
      </c>
      <c r="G751" s="6">
        <f>'пр.4.1.ведом.22-23'!H367</f>
        <v>63</v>
      </c>
    </row>
    <row r="752" spans="1:9" ht="31.5" x14ac:dyDescent="0.25">
      <c r="A752" s="201" t="s">
        <v>1299</v>
      </c>
      <c r="B752" s="24" t="s">
        <v>299</v>
      </c>
      <c r="C752" s="24" t="s">
        <v>118</v>
      </c>
      <c r="D752" s="24" t="s">
        <v>1203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815</v>
      </c>
      <c r="B753" s="20" t="s">
        <v>299</v>
      </c>
      <c r="C753" s="20" t="s">
        <v>118</v>
      </c>
      <c r="D753" s="20" t="s">
        <v>1205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1205</v>
      </c>
      <c r="E754" s="20" t="s">
        <v>128</v>
      </c>
      <c r="F754" s="6">
        <f>'Пр.3 Рд,пр, ЦС,ВР 21'!F871</f>
        <v>487.40000000000009</v>
      </c>
      <c r="G754" s="6" t="e">
        <f>'Пр.3 Рд,пр, ЦС,ВР 21'!#REF!</f>
        <v>#REF!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1205</v>
      </c>
      <c r="E755" s="20" t="s">
        <v>209</v>
      </c>
      <c r="F755" s="6">
        <f>'Пр.3 Рд,пр, ЦС,ВР 21'!F872</f>
        <v>487.40000000000009</v>
      </c>
      <c r="G755" s="6" t="e">
        <f>'Пр.3 Рд,пр, ЦС,ВР 21'!#REF!</f>
        <v>#REF!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1205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1205</v>
      </c>
      <c r="E757" s="20" t="s">
        <v>134</v>
      </c>
      <c r="F757" s="6">
        <f>'пр.4.1.ведом.22-23'!G373</f>
        <v>1380</v>
      </c>
      <c r="G757" s="6">
        <f>'пр.4.1.ведом.22-23'!H373</f>
        <v>1380</v>
      </c>
    </row>
    <row r="758" spans="1:7" ht="47.25" x14ac:dyDescent="0.25">
      <c r="A758" s="23" t="s">
        <v>946</v>
      </c>
      <c r="B758" s="24" t="s">
        <v>299</v>
      </c>
      <c r="C758" s="24" t="s">
        <v>118</v>
      </c>
      <c r="D758" s="24" t="s">
        <v>1206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838</v>
      </c>
      <c r="B759" s="20" t="s">
        <v>299</v>
      </c>
      <c r="C759" s="20" t="s">
        <v>118</v>
      </c>
      <c r="D759" s="20" t="s">
        <v>1207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1207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1207</v>
      </c>
      <c r="E761" s="20" t="s">
        <v>209</v>
      </c>
      <c r="F761" s="6">
        <f>'пр.4.1.ведом.22-23'!G377</f>
        <v>875</v>
      </c>
      <c r="G761" s="6">
        <f>'пр.4.1.ведом.22-23'!H377</f>
        <v>875</v>
      </c>
    </row>
    <row r="762" spans="1:7" ht="50.25" customHeight="1" x14ac:dyDescent="0.25">
      <c r="A762" s="202" t="s">
        <v>899</v>
      </c>
      <c r="B762" s="24" t="s">
        <v>299</v>
      </c>
      <c r="C762" s="24" t="s">
        <v>118</v>
      </c>
      <c r="D762" s="24" t="s">
        <v>1208</v>
      </c>
      <c r="E762" s="24"/>
      <c r="F762" s="4">
        <f>F763+F766</f>
        <v>2442</v>
      </c>
      <c r="G762" s="4">
        <f>G763+G766</f>
        <v>2442</v>
      </c>
    </row>
    <row r="763" spans="1:7" s="191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1402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191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1402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191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1402</v>
      </c>
      <c r="E765" s="20" t="s">
        <v>209</v>
      </c>
      <c r="F765" s="6">
        <f>'пр.4.1.ведом.22-23'!G381</f>
        <v>2100.6</v>
      </c>
      <c r="G765" s="6">
        <f>'пр.4.1.ведом.22-23'!H381</f>
        <v>2100.6</v>
      </c>
    </row>
    <row r="766" spans="1:7" s="191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1289</v>
      </c>
      <c r="E766" s="20"/>
      <c r="F766" s="26">
        <f>F767</f>
        <v>341.4</v>
      </c>
      <c r="G766" s="26">
        <f>G767</f>
        <v>341.4</v>
      </c>
    </row>
    <row r="767" spans="1:7" s="191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1289</v>
      </c>
      <c r="E767" s="20" t="s">
        <v>128</v>
      </c>
      <c r="F767" s="26">
        <f>F768</f>
        <v>341.4</v>
      </c>
      <c r="G767" s="26">
        <f>G768</f>
        <v>341.4</v>
      </c>
    </row>
    <row r="768" spans="1:7" s="191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1289</v>
      </c>
      <c r="E768" s="20" t="s">
        <v>209</v>
      </c>
      <c r="F768" s="26">
        <f>'пр.4.1.ведом.22-23'!G384</f>
        <v>341.4</v>
      </c>
      <c r="G768" s="26">
        <f>'пр.4.1.ведом.22-23'!H384</f>
        <v>341.4</v>
      </c>
    </row>
    <row r="769" spans="1:7" s="191" customFormat="1" ht="31.5" x14ac:dyDescent="0.25">
      <c r="A769" s="23" t="s">
        <v>901</v>
      </c>
      <c r="B769" s="24" t="s">
        <v>299</v>
      </c>
      <c r="C769" s="24" t="s">
        <v>118</v>
      </c>
      <c r="D769" s="24" t="s">
        <v>1213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191" customFormat="1" ht="31.5" x14ac:dyDescent="0.25">
      <c r="A770" s="25" t="s">
        <v>820</v>
      </c>
      <c r="B770" s="20" t="s">
        <v>299</v>
      </c>
      <c r="C770" s="20" t="s">
        <v>118</v>
      </c>
      <c r="D770" s="20" t="s">
        <v>1214</v>
      </c>
      <c r="E770" s="20"/>
      <c r="F770" s="26">
        <f t="shared" si="76"/>
        <v>50</v>
      </c>
      <c r="G770" s="26">
        <f t="shared" si="76"/>
        <v>50</v>
      </c>
    </row>
    <row r="771" spans="1:7" s="191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1214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191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1214</v>
      </c>
      <c r="E772" s="20" t="s">
        <v>134</v>
      </c>
      <c r="F772" s="26">
        <f>'пр.4.1.ведом.22-23'!G388</f>
        <v>50</v>
      </c>
      <c r="G772" s="26">
        <f>'пр.4.1.ведом.22-23'!H388</f>
        <v>50</v>
      </c>
    </row>
    <row r="773" spans="1:7" s="191" customFormat="1" ht="31.5" x14ac:dyDescent="0.25">
      <c r="A773" s="23" t="s">
        <v>1009</v>
      </c>
      <c r="B773" s="24" t="s">
        <v>299</v>
      </c>
      <c r="C773" s="24" t="s">
        <v>118</v>
      </c>
      <c r="D773" s="24" t="s">
        <v>1215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191" customFormat="1" ht="47.25" x14ac:dyDescent="0.25">
      <c r="A774" s="25" t="s">
        <v>1465</v>
      </c>
      <c r="B774" s="20" t="s">
        <v>299</v>
      </c>
      <c r="C774" s="20" t="s">
        <v>118</v>
      </c>
      <c r="D774" s="20" t="s">
        <v>1216</v>
      </c>
      <c r="E774" s="20"/>
      <c r="F774" s="26">
        <f t="shared" si="77"/>
        <v>68.7</v>
      </c>
      <c r="G774" s="26">
        <f t="shared" si="77"/>
        <v>68.7</v>
      </c>
    </row>
    <row r="775" spans="1:7" s="191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1216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191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1216</v>
      </c>
      <c r="E776" s="20" t="s">
        <v>134</v>
      </c>
      <c r="F776" s="26">
        <f>'пр.4.1.ведом.22-23'!G392</f>
        <v>68.7</v>
      </c>
      <c r="G776" s="26">
        <f>'пр.4.1.ведом.22-23'!H392</f>
        <v>68.7</v>
      </c>
    </row>
    <row r="777" spans="1:7" s="191" customFormat="1" ht="31.5" x14ac:dyDescent="0.25">
      <c r="A777" s="195" t="s">
        <v>1177</v>
      </c>
      <c r="B777" s="24" t="s">
        <v>299</v>
      </c>
      <c r="C777" s="24" t="s">
        <v>118</v>
      </c>
      <c r="D777" s="24" t="s">
        <v>1309</v>
      </c>
      <c r="E777" s="24"/>
      <c r="F777" s="21">
        <f t="shared" ref="F777:G777" si="78">F778</f>
        <v>300</v>
      </c>
      <c r="G777" s="21">
        <f t="shared" si="78"/>
        <v>2806.2</v>
      </c>
    </row>
    <row r="778" spans="1:7" s="191" customFormat="1" ht="63" x14ac:dyDescent="0.25">
      <c r="A778" s="98" t="s">
        <v>1165</v>
      </c>
      <c r="B778" s="20" t="s">
        <v>299</v>
      </c>
      <c r="C778" s="20" t="s">
        <v>118</v>
      </c>
      <c r="D778" s="20" t="s">
        <v>1212</v>
      </c>
      <c r="E778" s="20"/>
      <c r="F778" s="26">
        <f>F779</f>
        <v>300</v>
      </c>
      <c r="G778" s="26">
        <f>G779</f>
        <v>2806.2</v>
      </c>
    </row>
    <row r="779" spans="1:7" s="191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1212</v>
      </c>
      <c r="E779" s="20" t="s">
        <v>132</v>
      </c>
      <c r="F779" s="26">
        <f>F780</f>
        <v>300</v>
      </c>
      <c r="G779" s="26">
        <f>G780</f>
        <v>2806.2</v>
      </c>
    </row>
    <row r="780" spans="1:7" s="191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1212</v>
      </c>
      <c r="E780" s="20" t="s">
        <v>134</v>
      </c>
      <c r="F780" s="26">
        <f>'пр.4.1.ведом.22-23'!G396</f>
        <v>300</v>
      </c>
      <c r="G780" s="26">
        <f>'пр.4.1.ведом.22-23'!H396</f>
        <v>2806.2</v>
      </c>
    </row>
    <row r="781" spans="1:7" s="191" customFormat="1" ht="31.5" hidden="1" x14ac:dyDescent="0.25">
      <c r="A781" s="302" t="s">
        <v>1330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191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191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191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'пр.4.1.ведом.22-23'!G400</f>
        <v>0</v>
      </c>
      <c r="G784" s="26">
        <f>'пр.4.1.ведом.22-23'!H400</f>
        <v>0</v>
      </c>
    </row>
    <row r="785" spans="1:7" ht="63" x14ac:dyDescent="0.25">
      <c r="A785" s="34" t="s">
        <v>1356</v>
      </c>
      <c r="B785" s="24" t="s">
        <v>299</v>
      </c>
      <c r="C785" s="24" t="s">
        <v>118</v>
      </c>
      <c r="D785" s="24" t="s">
        <v>324</v>
      </c>
      <c r="E785" s="24"/>
      <c r="F785" s="333">
        <f t="shared" ref="F785:G788" si="80">F786</f>
        <v>10</v>
      </c>
      <c r="G785" s="333">
        <f t="shared" si="80"/>
        <v>0</v>
      </c>
    </row>
    <row r="786" spans="1:7" ht="63" x14ac:dyDescent="0.25">
      <c r="A786" s="34" t="s">
        <v>1024</v>
      </c>
      <c r="B786" s="24" t="s">
        <v>299</v>
      </c>
      <c r="C786" s="24" t="s">
        <v>118</v>
      </c>
      <c r="D786" s="24" t="s">
        <v>933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1080</v>
      </c>
      <c r="B787" s="20" t="s">
        <v>299</v>
      </c>
      <c r="C787" s="20" t="s">
        <v>118</v>
      </c>
      <c r="D787" s="20" t="s">
        <v>1025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1025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1025</v>
      </c>
      <c r="E789" s="20" t="s">
        <v>134</v>
      </c>
      <c r="F789" s="6">
        <f>'пр.4.1.ведом.22-23'!G405</f>
        <v>10</v>
      </c>
      <c r="G789" s="6">
        <f>'пр.4.1.ведом.22-23'!H405</f>
        <v>0</v>
      </c>
    </row>
    <row r="790" spans="1:7" ht="63" x14ac:dyDescent="0.25">
      <c r="A790" s="41" t="s">
        <v>1351</v>
      </c>
      <c r="B790" s="24" t="s">
        <v>299</v>
      </c>
      <c r="C790" s="24" t="s">
        <v>118</v>
      </c>
      <c r="D790" s="24" t="s">
        <v>705</v>
      </c>
      <c r="E790" s="206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889</v>
      </c>
      <c r="B791" s="24" t="s">
        <v>299</v>
      </c>
      <c r="C791" s="24" t="s">
        <v>118</v>
      </c>
      <c r="D791" s="24" t="s">
        <v>887</v>
      </c>
      <c r="E791" s="206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1021</v>
      </c>
      <c r="B792" s="20" t="s">
        <v>299</v>
      </c>
      <c r="C792" s="20" t="s">
        <v>118</v>
      </c>
      <c r="D792" s="20" t="s">
        <v>888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888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888</v>
      </c>
      <c r="E794" s="32" t="s">
        <v>134</v>
      </c>
      <c r="F794" s="6">
        <f>'пр.4.1.ведом.22-23'!G410</f>
        <v>878.7</v>
      </c>
      <c r="G794" s="6">
        <f>'пр.4.1.ведом.22-23'!H410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916</v>
      </c>
      <c r="B796" s="24" t="s">
        <v>299</v>
      </c>
      <c r="C796" s="24" t="s">
        <v>150</v>
      </c>
      <c r="D796" s="24" t="s">
        <v>857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917</v>
      </c>
      <c r="B797" s="24" t="s">
        <v>299</v>
      </c>
      <c r="C797" s="24" t="s">
        <v>150</v>
      </c>
      <c r="D797" s="24" t="s">
        <v>858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896</v>
      </c>
      <c r="B798" s="20" t="s">
        <v>299</v>
      </c>
      <c r="C798" s="20" t="s">
        <v>150</v>
      </c>
      <c r="D798" s="20" t="s">
        <v>859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859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859</v>
      </c>
      <c r="E800" s="40" t="s">
        <v>130</v>
      </c>
      <c r="F800" s="6">
        <f>'пр.4.1.ведом.22-23'!G416</f>
        <v>7015.6</v>
      </c>
      <c r="G800" s="6">
        <f>'пр.4.1.ведом.22-23'!H416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859</v>
      </c>
      <c r="E801" s="40" t="s">
        <v>132</v>
      </c>
      <c r="F801" s="6">
        <f>'Пр.3 Рд,пр, ЦС,ВР 21'!F921</f>
        <v>0</v>
      </c>
      <c r="G801" s="6" t="e">
        <f>'Пр.3 Рд,пр, ЦС,ВР 21'!#REF!</f>
        <v>#REF!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859</v>
      </c>
      <c r="E802" s="40" t="s">
        <v>134</v>
      </c>
      <c r="F802" s="6">
        <f>'Пр.3 Рд,пр, ЦС,ВР 21'!F922</f>
        <v>0</v>
      </c>
      <c r="G802" s="6" t="e">
        <f>'Пр.3 Рд,пр, ЦС,ВР 21'!#REF!</f>
        <v>#REF!</v>
      </c>
    </row>
    <row r="803" spans="1:7" ht="47.25" x14ac:dyDescent="0.25">
      <c r="A803" s="25" t="s">
        <v>838</v>
      </c>
      <c r="B803" s="20" t="s">
        <v>299</v>
      </c>
      <c r="C803" s="20" t="s">
        <v>150</v>
      </c>
      <c r="D803" s="20" t="s">
        <v>861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861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861</v>
      </c>
      <c r="E805" s="40" t="s">
        <v>130</v>
      </c>
      <c r="F805" s="6">
        <f>'пр.4.1.ведом.22-23'!G421</f>
        <v>276</v>
      </c>
      <c r="G805" s="6">
        <f>'пр.4.1.ведом.22-23'!H421</f>
        <v>276</v>
      </c>
    </row>
    <row r="806" spans="1:7" ht="15.75" x14ac:dyDescent="0.25">
      <c r="A806" s="23" t="s">
        <v>925</v>
      </c>
      <c r="B806" s="24" t="s">
        <v>299</v>
      </c>
      <c r="C806" s="24" t="s">
        <v>150</v>
      </c>
      <c r="D806" s="24" t="s">
        <v>865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928</v>
      </c>
      <c r="B807" s="24" t="s">
        <v>299</v>
      </c>
      <c r="C807" s="24" t="s">
        <v>150</v>
      </c>
      <c r="D807" s="24" t="s">
        <v>913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902</v>
      </c>
      <c r="B808" s="20" t="s">
        <v>299</v>
      </c>
      <c r="C808" s="20" t="s">
        <v>150</v>
      </c>
      <c r="D808" s="20" t="s">
        <v>914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914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914</v>
      </c>
      <c r="E810" s="40" t="s">
        <v>209</v>
      </c>
      <c r="F810" s="6">
        <f>'пр.4.1.ведом.22-23'!G426</f>
        <v>8853.7999999999993</v>
      </c>
      <c r="G810" s="6">
        <f>'пр.4.1.ведом.22-23'!H426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914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914</v>
      </c>
      <c r="E812" s="40" t="s">
        <v>134</v>
      </c>
      <c r="F812" s="6">
        <f>'пр.4.1.ведом.22-23'!G428</f>
        <v>1937</v>
      </c>
      <c r="G812" s="6">
        <f>'пр.4.1.ведом.22-23'!H428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914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914</v>
      </c>
      <c r="E814" s="40" t="s">
        <v>138</v>
      </c>
      <c r="F814" s="6">
        <f>'пр.4.1.ведом.22-23'!G430</f>
        <v>14</v>
      </c>
      <c r="G814" s="6">
        <f>'пр.4.1.ведом.22-23'!H430</f>
        <v>14</v>
      </c>
    </row>
    <row r="815" spans="1:7" ht="47.25" x14ac:dyDescent="0.25">
      <c r="A815" s="25" t="s">
        <v>838</v>
      </c>
      <c r="B815" s="20" t="s">
        <v>299</v>
      </c>
      <c r="C815" s="20" t="s">
        <v>150</v>
      </c>
      <c r="D815" s="20" t="s">
        <v>915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915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915</v>
      </c>
      <c r="E817" s="40" t="s">
        <v>209</v>
      </c>
      <c r="F817" s="6">
        <f>'пр.4.1.ведом.22-23'!G433</f>
        <v>210</v>
      </c>
      <c r="G817" s="6">
        <f>'пр.4.1.ведом.22-23'!H433</f>
        <v>210</v>
      </c>
    </row>
    <row r="818" spans="1:9" ht="50.25" customHeight="1" x14ac:dyDescent="0.25">
      <c r="A818" s="23" t="s">
        <v>1346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1352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996</v>
      </c>
      <c r="B820" s="24" t="s">
        <v>299</v>
      </c>
      <c r="C820" s="24" t="s">
        <v>150</v>
      </c>
      <c r="D820" s="24" t="s">
        <v>1219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995</v>
      </c>
      <c r="B821" s="20" t="s">
        <v>299</v>
      </c>
      <c r="C821" s="20" t="s">
        <v>150</v>
      </c>
      <c r="D821" s="20" t="s">
        <v>1220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1220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1220</v>
      </c>
      <c r="E823" s="20" t="s">
        <v>134</v>
      </c>
      <c r="F823" s="26">
        <f>'пр.4.1.ведом.22-23'!G439</f>
        <v>260</v>
      </c>
      <c r="G823" s="26">
        <f>'пр.4.1.ведом.22-23'!H439</f>
        <v>285</v>
      </c>
    </row>
    <row r="824" spans="1:9" s="191" customFormat="1" ht="63" x14ac:dyDescent="0.25">
      <c r="A824" s="34" t="s">
        <v>1432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191" customFormat="1" ht="63" x14ac:dyDescent="0.25">
      <c r="A825" s="34" t="s">
        <v>1024</v>
      </c>
      <c r="B825" s="24" t="s">
        <v>299</v>
      </c>
      <c r="C825" s="24" t="s">
        <v>150</v>
      </c>
      <c r="D825" s="24" t="s">
        <v>933</v>
      </c>
      <c r="E825" s="24"/>
      <c r="F825" s="21">
        <f>F828</f>
        <v>0</v>
      </c>
      <c r="G825" s="21">
        <f>G826</f>
        <v>4</v>
      </c>
    </row>
    <row r="826" spans="1:9" s="191" customFormat="1" ht="47.25" x14ac:dyDescent="0.25">
      <c r="A826" s="31" t="s">
        <v>1081</v>
      </c>
      <c r="B826" s="20" t="s">
        <v>299</v>
      </c>
      <c r="C826" s="20" t="s">
        <v>150</v>
      </c>
      <c r="D826" s="20" t="s">
        <v>1025</v>
      </c>
      <c r="E826" s="20"/>
      <c r="F826" s="26">
        <f>F827</f>
        <v>0</v>
      </c>
      <c r="G826" s="26">
        <f>G827</f>
        <v>4</v>
      </c>
    </row>
    <row r="827" spans="1:9" s="191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1025</v>
      </c>
      <c r="E827" s="20" t="s">
        <v>132</v>
      </c>
      <c r="F827" s="26">
        <f>F828</f>
        <v>0</v>
      </c>
      <c r="G827" s="26">
        <f>G828</f>
        <v>4</v>
      </c>
    </row>
    <row r="828" spans="1:9" s="191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1025</v>
      </c>
      <c r="E828" s="20" t="s">
        <v>134</v>
      </c>
      <c r="F828" s="26">
        <f>'пр.4.1.ведом.22-23'!G444</f>
        <v>0</v>
      </c>
      <c r="G828" s="26">
        <f>'пр.4.1.ведом.22-23'!H444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192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16">
        <f>H829-F829</f>
        <v>-294.61000000000058</v>
      </c>
      <c r="I830" s="216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865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869</v>
      </c>
      <c r="B832" s="24" t="s">
        <v>244</v>
      </c>
      <c r="C832" s="24" t="s">
        <v>118</v>
      </c>
      <c r="D832" s="24" t="s">
        <v>864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880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880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880</v>
      </c>
      <c r="E835" s="20" t="s">
        <v>251</v>
      </c>
      <c r="F835" s="6">
        <f>'пр.4.1.ведом.22-23'!G224</f>
        <v>9815.2999999999993</v>
      </c>
      <c r="G835" s="6">
        <f>'пр.4.1.ведом.22-23'!H224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1377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904</v>
      </c>
      <c r="B839" s="24" t="s">
        <v>244</v>
      </c>
      <c r="C839" s="24" t="s">
        <v>215</v>
      </c>
      <c r="D839" s="24" t="s">
        <v>903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823</v>
      </c>
      <c r="B840" s="20" t="s">
        <v>244</v>
      </c>
      <c r="C840" s="20" t="s">
        <v>215</v>
      </c>
      <c r="D840" s="20" t="s">
        <v>905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905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905</v>
      </c>
      <c r="E842" s="20" t="s">
        <v>251</v>
      </c>
      <c r="F842" s="26">
        <f>'пр.4.1.ведом.22-23'!G452</f>
        <v>294.61</v>
      </c>
      <c r="G842" s="26">
        <f>'пр.4.1.ведом.22-23'!H452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1038</v>
      </c>
      <c r="B844" s="19">
        <v>10</v>
      </c>
      <c r="C844" s="24" t="s">
        <v>215</v>
      </c>
      <c r="D844" s="24" t="s">
        <v>912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1039</v>
      </c>
      <c r="B845" s="20" t="s">
        <v>244</v>
      </c>
      <c r="C845" s="20" t="s">
        <v>215</v>
      </c>
      <c r="D845" s="20" t="s">
        <v>1222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1222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1222</v>
      </c>
      <c r="E847" s="20" t="s">
        <v>349</v>
      </c>
      <c r="F847" s="26">
        <f>'пр.4.1.ведом.22-23'!G457</f>
        <v>630</v>
      </c>
      <c r="G847" s="26">
        <f>'пр.4.1.ведом.22-23'!H457</f>
        <v>630</v>
      </c>
    </row>
    <row r="848" spans="1:7" ht="31.5" x14ac:dyDescent="0.25">
      <c r="A848" s="23" t="s">
        <v>1226</v>
      </c>
      <c r="B848" s="19">
        <v>10</v>
      </c>
      <c r="C848" s="24" t="s">
        <v>215</v>
      </c>
      <c r="D848" s="24" t="s">
        <v>1224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1223</v>
      </c>
      <c r="B849" s="20" t="s">
        <v>244</v>
      </c>
      <c r="C849" s="20" t="s">
        <v>215</v>
      </c>
      <c r="D849" s="20" t="s">
        <v>1225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1225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1225</v>
      </c>
      <c r="E851" s="20" t="s">
        <v>134</v>
      </c>
      <c r="F851" s="26">
        <f>'пр.4.1.ведом.22-23'!G461</f>
        <v>400</v>
      </c>
      <c r="G851" s="26">
        <f>'пр.4.1.ведом.22-23'!H461</f>
        <v>400</v>
      </c>
    </row>
    <row r="852" spans="1:7" s="191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1225</v>
      </c>
      <c r="E852" s="20" t="s">
        <v>249</v>
      </c>
      <c r="F852" s="26">
        <f>F853</f>
        <v>257</v>
      </c>
      <c r="G852" s="26">
        <f>G853</f>
        <v>257</v>
      </c>
    </row>
    <row r="853" spans="1:7" s="191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1225</v>
      </c>
      <c r="E853" s="20" t="s">
        <v>349</v>
      </c>
      <c r="F853" s="26">
        <f>'пр.4.1.ведом.22-23'!G463</f>
        <v>257</v>
      </c>
      <c r="G853" s="26">
        <f>'пр.4.1.ведом.22-23'!H463</f>
        <v>257</v>
      </c>
    </row>
    <row r="854" spans="1:7" ht="31.5" x14ac:dyDescent="0.25">
      <c r="A854" s="23" t="s">
        <v>996</v>
      </c>
      <c r="B854" s="19">
        <v>10</v>
      </c>
      <c r="C854" s="24" t="s">
        <v>215</v>
      </c>
      <c r="D854" s="24" t="s">
        <v>1219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1036</v>
      </c>
      <c r="B855" s="20" t="s">
        <v>244</v>
      </c>
      <c r="C855" s="20" t="s">
        <v>215</v>
      </c>
      <c r="D855" s="20" t="s">
        <v>1221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1221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1221</v>
      </c>
      <c r="E857" s="20" t="s">
        <v>349</v>
      </c>
      <c r="F857" s="26">
        <f>'пр.4.1.ведом.22-23'!G467</f>
        <v>420</v>
      </c>
      <c r="G857" s="26">
        <f>'пр.4.1.ведом.22-23'!H467</f>
        <v>450</v>
      </c>
    </row>
    <row r="858" spans="1:7" ht="63" x14ac:dyDescent="0.25">
      <c r="A858" s="23" t="s">
        <v>1345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883</v>
      </c>
      <c r="B859" s="24" t="s">
        <v>244</v>
      </c>
      <c r="C859" s="24" t="s">
        <v>215</v>
      </c>
      <c r="D859" s="24" t="s">
        <v>881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882</v>
      </c>
      <c r="B860" s="20" t="s">
        <v>244</v>
      </c>
      <c r="C860" s="20" t="s">
        <v>215</v>
      </c>
      <c r="D860" s="20" t="s">
        <v>1186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1186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1186</v>
      </c>
      <c r="E862" s="20" t="s">
        <v>251</v>
      </c>
      <c r="F862" s="6">
        <f>'пр.4.1.ведом.22-23'!G230</f>
        <v>10</v>
      </c>
      <c r="G862" s="6">
        <f>'пр.4.1.ведом.22-23'!H230</f>
        <v>10</v>
      </c>
    </row>
    <row r="863" spans="1:7" s="191" customFormat="1" ht="63" hidden="1" x14ac:dyDescent="0.25">
      <c r="A863" s="25" t="s">
        <v>1174</v>
      </c>
      <c r="B863" s="20" t="s">
        <v>244</v>
      </c>
      <c r="C863" s="20" t="s">
        <v>215</v>
      </c>
      <c r="D863" s="20" t="s">
        <v>1173</v>
      </c>
      <c r="E863" s="20"/>
      <c r="F863" s="26">
        <f>F864</f>
        <v>0</v>
      </c>
      <c r="G863" s="26">
        <f>G864</f>
        <v>0</v>
      </c>
    </row>
    <row r="864" spans="1:7" s="191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1173</v>
      </c>
      <c r="E864" s="20" t="s">
        <v>249</v>
      </c>
      <c r="F864" s="26">
        <f>F865</f>
        <v>0</v>
      </c>
      <c r="G864" s="26">
        <f>G865</f>
        <v>0</v>
      </c>
    </row>
    <row r="865" spans="1:7" s="191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1173</v>
      </c>
      <c r="E865" s="20" t="s">
        <v>251</v>
      </c>
      <c r="F865" s="26">
        <f>'пр.4.1.ведом.22-23'!G233</f>
        <v>0</v>
      </c>
      <c r="G865" s="26">
        <f>'пр.4.1.ведом.22-23'!H233</f>
        <v>0</v>
      </c>
    </row>
    <row r="866" spans="1:7" s="191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191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191" customFormat="1" ht="47.25" x14ac:dyDescent="0.25">
      <c r="A868" s="23" t="s">
        <v>884</v>
      </c>
      <c r="B868" s="24" t="s">
        <v>244</v>
      </c>
      <c r="C868" s="24" t="s">
        <v>150</v>
      </c>
      <c r="D868" s="24" t="s">
        <v>862</v>
      </c>
      <c r="E868" s="20"/>
      <c r="F868" s="21">
        <f t="shared" si="90"/>
        <v>2469.1</v>
      </c>
      <c r="G868" s="21">
        <f t="shared" si="90"/>
        <v>10803.2</v>
      </c>
    </row>
    <row r="869" spans="1:7" s="191" customFormat="1" ht="47.25" x14ac:dyDescent="0.25">
      <c r="A869" s="25" t="s">
        <v>1169</v>
      </c>
      <c r="B869" s="20" t="s">
        <v>244</v>
      </c>
      <c r="C869" s="20" t="s">
        <v>150</v>
      </c>
      <c r="D869" s="20" t="s">
        <v>1168</v>
      </c>
      <c r="E869" s="20"/>
      <c r="F869" s="26">
        <f t="shared" si="90"/>
        <v>2469.1</v>
      </c>
      <c r="G869" s="26">
        <f t="shared" si="90"/>
        <v>10803.2</v>
      </c>
    </row>
    <row r="870" spans="1:7" s="191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1168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191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1168</v>
      </c>
      <c r="E871" s="20" t="s">
        <v>134</v>
      </c>
      <c r="F871" s="26">
        <f>'пр.4.1.ведом.22-23'!G536</f>
        <v>2469.1</v>
      </c>
      <c r="G871" s="26">
        <f>'пр.4.1.ведом.22-23'!H536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916</v>
      </c>
      <c r="B873" s="24" t="s">
        <v>244</v>
      </c>
      <c r="C873" s="24" t="s">
        <v>120</v>
      </c>
      <c r="D873" s="24" t="s">
        <v>857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884</v>
      </c>
      <c r="B874" s="24" t="s">
        <v>244</v>
      </c>
      <c r="C874" s="24" t="s">
        <v>120</v>
      </c>
      <c r="D874" s="24" t="s">
        <v>862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924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924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924</v>
      </c>
      <c r="E877" s="20" t="s">
        <v>130</v>
      </c>
      <c r="F877" s="6">
        <f>'пр.4.1.ведом.22-23'!G239</f>
        <v>3249.8</v>
      </c>
      <c r="G877" s="6">
        <f>'пр.4.1.ведом.22-23'!H239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924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924</v>
      </c>
      <c r="E879" s="20" t="s">
        <v>134</v>
      </c>
      <c r="F879" s="6">
        <f>'пр.4.1.ведом.22-23'!G241</f>
        <v>400.6</v>
      </c>
      <c r="G879" s="6">
        <f>'пр.4.1.ведом.22-23'!H241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865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869</v>
      </c>
      <c r="B881" s="24" t="s">
        <v>244</v>
      </c>
      <c r="C881" s="24" t="s">
        <v>120</v>
      </c>
      <c r="D881" s="24" t="s">
        <v>864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984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984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984</v>
      </c>
      <c r="E884" s="20" t="s">
        <v>134</v>
      </c>
      <c r="F884" s="6">
        <f>'пр.4.1.ведом.22-23'!G1045</f>
        <v>87</v>
      </c>
      <c r="G884" s="6">
        <f>'пр.4.1.ведом.22-23'!H1045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63981.399999999994</v>
      </c>
      <c r="G885" s="4" t="e">
        <f>G886+G923</f>
        <v>#REF!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50452.2</v>
      </c>
      <c r="G886" s="4" t="e">
        <f>G887+G918+G913</f>
        <v>#REF!</v>
      </c>
    </row>
    <row r="887" spans="1:7" ht="47.25" x14ac:dyDescent="0.25">
      <c r="A887" s="23" t="s">
        <v>1368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49873.1</v>
      </c>
      <c r="G887" s="4" t="e">
        <f>G888+G892+G902+G909</f>
        <v>#REF!</v>
      </c>
    </row>
    <row r="888" spans="1:7" ht="47.25" x14ac:dyDescent="0.25">
      <c r="A888" s="23" t="s">
        <v>936</v>
      </c>
      <c r="B888" s="24" t="s">
        <v>491</v>
      </c>
      <c r="C888" s="24" t="s">
        <v>118</v>
      </c>
      <c r="D888" s="24" t="s">
        <v>1261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1291</v>
      </c>
      <c r="B889" s="20" t="s">
        <v>491</v>
      </c>
      <c r="C889" s="20" t="s">
        <v>118</v>
      </c>
      <c r="D889" s="20" t="s">
        <v>1262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1262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1262</v>
      </c>
      <c r="E891" s="20" t="s">
        <v>275</v>
      </c>
      <c r="F891" s="6">
        <f>'пр.4.1.ведом.22-23'!G770</f>
        <v>47819.6</v>
      </c>
      <c r="G891" s="6">
        <f>'пр.4.1.ведом.22-23'!H770</f>
        <v>47819.6</v>
      </c>
    </row>
    <row r="892" spans="1:7" ht="31.5" x14ac:dyDescent="0.25">
      <c r="A892" s="23" t="s">
        <v>944</v>
      </c>
      <c r="B892" s="24" t="s">
        <v>491</v>
      </c>
      <c r="C892" s="24" t="s">
        <v>118</v>
      </c>
      <c r="D892" s="24" t="s">
        <v>1263</v>
      </c>
      <c r="E892" s="24"/>
      <c r="F892" s="4">
        <f>F893+F896+F899</f>
        <v>36</v>
      </c>
      <c r="G892" s="4" t="e">
        <f>G893+G896+G899</f>
        <v>#REF!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1321</v>
      </c>
      <c r="E893" s="20"/>
      <c r="F893" s="6">
        <f>F894</f>
        <v>0</v>
      </c>
      <c r="G893" s="6" t="e">
        <f>'Пр.3 Рд,пр, ЦС,ВР 21'!#REF!</f>
        <v>#REF!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1321</v>
      </c>
      <c r="E894" s="20" t="s">
        <v>273</v>
      </c>
      <c r="F894" s="6">
        <f>F895</f>
        <v>0</v>
      </c>
      <c r="G894" s="6" t="e">
        <f>'Пр.3 Рд,пр, ЦС,ВР 21'!#REF!</f>
        <v>#REF!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1321</v>
      </c>
      <c r="E895" s="20" t="s">
        <v>275</v>
      </c>
      <c r="F895" s="6">
        <v>0</v>
      </c>
      <c r="G895" s="6" t="e">
        <f>'Пр.3 Рд,пр, ЦС,ВР 21'!#REF!</f>
        <v>#REF!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1322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1322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1322</v>
      </c>
      <c r="E898" s="20" t="s">
        <v>275</v>
      </c>
      <c r="F898" s="6">
        <f>'пр.4.1.ведом.22-23'!G777</f>
        <v>0</v>
      </c>
      <c r="G898" s="6">
        <f>'пр.4.1.ведом.22-23'!H777</f>
        <v>0</v>
      </c>
    </row>
    <row r="899" spans="1:7" ht="15.75" x14ac:dyDescent="0.25">
      <c r="A899" s="25" t="s">
        <v>829</v>
      </c>
      <c r="B899" s="20" t="s">
        <v>491</v>
      </c>
      <c r="C899" s="20" t="s">
        <v>118</v>
      </c>
      <c r="D899" s="20" t="s">
        <v>1264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1264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1264</v>
      </c>
      <c r="E901" s="20" t="s">
        <v>275</v>
      </c>
      <c r="F901" s="6">
        <f>'пр.4.1.ведом.22-23'!G781</f>
        <v>36</v>
      </c>
      <c r="G901" s="6">
        <f>'пр.4.1.ведом.22-23'!H781</f>
        <v>36</v>
      </c>
    </row>
    <row r="902" spans="1:7" ht="47.25" x14ac:dyDescent="0.25">
      <c r="A902" s="23" t="s">
        <v>946</v>
      </c>
      <c r="B902" s="24" t="s">
        <v>491</v>
      </c>
      <c r="C902" s="24" t="s">
        <v>118</v>
      </c>
      <c r="D902" s="24" t="s">
        <v>1265</v>
      </c>
      <c r="E902" s="24"/>
      <c r="F902" s="4">
        <f>F903+F906</f>
        <v>1204</v>
      </c>
      <c r="G902" s="4" t="e">
        <f>G903+G906</f>
        <v>#REF!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1303</v>
      </c>
      <c r="E903" s="20"/>
      <c r="F903" s="6">
        <f>F904</f>
        <v>0</v>
      </c>
      <c r="G903" s="6" t="e">
        <f>'Пр.3 Рд,пр, ЦС,ВР 21'!#REF!</f>
        <v>#REF!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1303</v>
      </c>
      <c r="E904" s="20" t="s">
        <v>273</v>
      </c>
      <c r="F904" s="6">
        <f>F905</f>
        <v>0</v>
      </c>
      <c r="G904" s="6" t="e">
        <f>'Пр.3 Рд,пр, ЦС,ВР 21'!#REF!</f>
        <v>#REF!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1303</v>
      </c>
      <c r="E905" s="20" t="s">
        <v>275</v>
      </c>
      <c r="F905" s="6">
        <v>0</v>
      </c>
      <c r="G905" s="6" t="e">
        <f>'Пр.3 Рд,пр, ЦС,ВР 21'!#REF!</f>
        <v>#REF!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1266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1266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1266</v>
      </c>
      <c r="E908" s="20" t="s">
        <v>275</v>
      </c>
      <c r="F908" s="6">
        <f>'пр.4.1.ведом.22-23'!G788</f>
        <v>1204</v>
      </c>
      <c r="G908" s="6">
        <f>'пр.4.1.ведом.22-23'!H788</f>
        <v>1204</v>
      </c>
    </row>
    <row r="909" spans="1:7" ht="54.75" customHeight="1" x14ac:dyDescent="0.25">
      <c r="A909" s="23" t="s">
        <v>899</v>
      </c>
      <c r="B909" s="24" t="s">
        <v>491</v>
      </c>
      <c r="C909" s="24" t="s">
        <v>118</v>
      </c>
      <c r="D909" s="24" t="s">
        <v>1267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1401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1401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1401</v>
      </c>
      <c r="E912" s="20" t="s">
        <v>275</v>
      </c>
      <c r="F912" s="6">
        <f>'пр.4.1.ведом.22-23'!G792</f>
        <v>813.5</v>
      </c>
      <c r="G912" s="6">
        <f>'пр.4.1.ведом.22-23'!H792</f>
        <v>813.5</v>
      </c>
    </row>
    <row r="913" spans="1:7" s="191" customFormat="1" ht="63" x14ac:dyDescent="0.25">
      <c r="A913" s="34" t="s">
        <v>1356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191" customFormat="1" ht="63" x14ac:dyDescent="0.25">
      <c r="A914" s="34" t="s">
        <v>1023</v>
      </c>
      <c r="B914" s="24" t="s">
        <v>491</v>
      </c>
      <c r="C914" s="24" t="s">
        <v>118</v>
      </c>
      <c r="D914" s="24" t="s">
        <v>933</v>
      </c>
      <c r="E914" s="24"/>
      <c r="F914" s="4">
        <f t="shared" si="94"/>
        <v>0</v>
      </c>
      <c r="G914" s="4">
        <f t="shared" si="94"/>
        <v>8</v>
      </c>
    </row>
    <row r="915" spans="1:7" s="191" customFormat="1" ht="47.25" x14ac:dyDescent="0.25">
      <c r="A915" s="31" t="s">
        <v>1007</v>
      </c>
      <c r="B915" s="20" t="s">
        <v>491</v>
      </c>
      <c r="C915" s="20" t="s">
        <v>118</v>
      </c>
      <c r="D915" s="20" t="s">
        <v>934</v>
      </c>
      <c r="E915" s="20"/>
      <c r="F915" s="6">
        <f t="shared" si="94"/>
        <v>0</v>
      </c>
      <c r="G915" s="6">
        <f t="shared" si="94"/>
        <v>8</v>
      </c>
    </row>
    <row r="916" spans="1:7" s="191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934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191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934</v>
      </c>
      <c r="E917" s="20" t="s">
        <v>275</v>
      </c>
      <c r="F917" s="6">
        <f>'пр.4.1.ведом.22-23'!G797</f>
        <v>0</v>
      </c>
      <c r="G917" s="6">
        <f>'пр.4.1.ведом.22-23'!H797</f>
        <v>8</v>
      </c>
    </row>
    <row r="918" spans="1:7" ht="48.95" customHeight="1" x14ac:dyDescent="0.25">
      <c r="A918" s="41" t="s">
        <v>1351</v>
      </c>
      <c r="B918" s="24" t="s">
        <v>491</v>
      </c>
      <c r="C918" s="24" t="s">
        <v>118</v>
      </c>
      <c r="D918" s="24" t="s">
        <v>705</v>
      </c>
      <c r="E918" s="206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889</v>
      </c>
      <c r="B919" s="24" t="s">
        <v>491</v>
      </c>
      <c r="C919" s="24" t="s">
        <v>118</v>
      </c>
      <c r="D919" s="24" t="s">
        <v>887</v>
      </c>
      <c r="E919" s="206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935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935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0" t="s">
        <v>274</v>
      </c>
      <c r="B922" s="20" t="s">
        <v>491</v>
      </c>
      <c r="C922" s="20" t="s">
        <v>118</v>
      </c>
      <c r="D922" s="20" t="s">
        <v>935</v>
      </c>
      <c r="E922" s="32" t="s">
        <v>275</v>
      </c>
      <c r="F922" s="6">
        <f>'пр.4.1.ведом.22-23'!G802</f>
        <v>579.1</v>
      </c>
      <c r="G922" s="6">
        <f>'пр.4.1.ведом.22-23'!H802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916</v>
      </c>
      <c r="B924" s="24" t="s">
        <v>491</v>
      </c>
      <c r="C924" s="24" t="s">
        <v>234</v>
      </c>
      <c r="D924" s="24" t="s">
        <v>857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917</v>
      </c>
      <c r="B925" s="24" t="s">
        <v>491</v>
      </c>
      <c r="C925" s="24" t="s">
        <v>234</v>
      </c>
      <c r="D925" s="24" t="s">
        <v>858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896</v>
      </c>
      <c r="B926" s="20" t="s">
        <v>491</v>
      </c>
      <c r="C926" s="20" t="s">
        <v>234</v>
      </c>
      <c r="D926" s="20" t="s">
        <v>859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859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859</v>
      </c>
      <c r="E928" s="20" t="s">
        <v>130</v>
      </c>
      <c r="F928" s="6">
        <f>'пр.4.1.ведом.22-23'!G808</f>
        <v>4888.5</v>
      </c>
      <c r="G928" s="6">
        <f>'пр.4.1.ведом.22-23'!H808</f>
        <v>4888.5</v>
      </c>
    </row>
    <row r="929" spans="1:7" ht="47.25" x14ac:dyDescent="0.25">
      <c r="A929" s="25" t="s">
        <v>838</v>
      </c>
      <c r="B929" s="20" t="s">
        <v>491</v>
      </c>
      <c r="C929" s="20" t="s">
        <v>234</v>
      </c>
      <c r="D929" s="20" t="s">
        <v>861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861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861</v>
      </c>
      <c r="E931" s="20" t="s">
        <v>130</v>
      </c>
      <c r="F931" s="6">
        <f>'пр.4.1.ведом.22-23'!G811</f>
        <v>336</v>
      </c>
      <c r="G931" s="6">
        <f>'пр.4.1.ведом.22-23'!H811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865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928</v>
      </c>
      <c r="B933" s="24" t="s">
        <v>491</v>
      </c>
      <c r="C933" s="24" t="s">
        <v>234</v>
      </c>
      <c r="D933" s="24" t="s">
        <v>913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902</v>
      </c>
      <c r="B934" s="20" t="s">
        <v>491</v>
      </c>
      <c r="C934" s="20" t="s">
        <v>234</v>
      </c>
      <c r="D934" s="20" t="s">
        <v>914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914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914</v>
      </c>
      <c r="E936" s="20" t="s">
        <v>209</v>
      </c>
      <c r="F936" s="6">
        <f>'пр.4.1.ведом.22-23'!G816</f>
        <v>4695.3999999999996</v>
      </c>
      <c r="G936" s="6">
        <f>'пр.4.1.ведом.22-23'!H816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914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914</v>
      </c>
      <c r="E938" s="20" t="s">
        <v>134</v>
      </c>
      <c r="F938" s="6">
        <f>'пр.4.1.ведом.22-23'!G818</f>
        <v>343.3</v>
      </c>
      <c r="G938" s="6">
        <f>'пр.4.1.ведом.22-23'!H818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914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914</v>
      </c>
      <c r="E940" s="20" t="s">
        <v>138</v>
      </c>
      <c r="F940" s="6">
        <f>'пр.4.1.ведом.22-23'!G820</f>
        <v>51</v>
      </c>
      <c r="G940" s="6">
        <f>'пр.4.1.ведом.22-23'!H820</f>
        <v>51</v>
      </c>
    </row>
    <row r="941" spans="1:7" ht="47.25" x14ac:dyDescent="0.25">
      <c r="A941" s="25" t="s">
        <v>838</v>
      </c>
      <c r="B941" s="20" t="s">
        <v>491</v>
      </c>
      <c r="C941" s="20" t="s">
        <v>234</v>
      </c>
      <c r="D941" s="20" t="s">
        <v>915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915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915</v>
      </c>
      <c r="E943" s="20" t="s">
        <v>130</v>
      </c>
      <c r="F943" s="6">
        <f>'пр.4.1.ведом.22-23'!G823</f>
        <v>215</v>
      </c>
      <c r="G943" s="6">
        <f>'пр.4.1.ведом.22-23'!H823</f>
        <v>215</v>
      </c>
    </row>
    <row r="944" spans="1:7" ht="47.25" x14ac:dyDescent="0.25">
      <c r="A944" s="41" t="s">
        <v>1368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950</v>
      </c>
      <c r="B945" s="24" t="s">
        <v>491</v>
      </c>
      <c r="C945" s="24" t="s">
        <v>234</v>
      </c>
      <c r="D945" s="7" t="s">
        <v>1269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951</v>
      </c>
      <c r="B946" s="20" t="s">
        <v>491</v>
      </c>
      <c r="C946" s="20" t="s">
        <v>234</v>
      </c>
      <c r="D946" s="40" t="s">
        <v>1270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1270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1270</v>
      </c>
      <c r="E948" s="20" t="s">
        <v>209</v>
      </c>
      <c r="F948" s="6">
        <f>'пр.4.1.ведом.22-23'!G828</f>
        <v>2500</v>
      </c>
      <c r="G948" s="6">
        <f>'пр.4.1.ведом.22-23'!H828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1270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1270</v>
      </c>
      <c r="E950" s="20" t="s">
        <v>134</v>
      </c>
      <c r="F950" s="6">
        <f>'пр.4.1.ведом.22-23'!G830</f>
        <v>500</v>
      </c>
      <c r="G950" s="6">
        <f>'пр.4.1.ведом.22-23'!H830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1350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1298</v>
      </c>
      <c r="B954" s="24" t="s">
        <v>238</v>
      </c>
      <c r="C954" s="24" t="s">
        <v>213</v>
      </c>
      <c r="D954" s="24" t="s">
        <v>1201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1202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1202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1202</v>
      </c>
      <c r="E957" s="20" t="s">
        <v>209</v>
      </c>
      <c r="F957" s="6">
        <f>'пр.4.1.ведом.22-23'!G474</f>
        <v>4897.2</v>
      </c>
      <c r="G957" s="6">
        <f>'пр.4.1.ведом.22-23'!H474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1202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1202</v>
      </c>
      <c r="E959" s="20" t="s">
        <v>134</v>
      </c>
      <c r="F959" s="6">
        <f>'пр.4.1.ведом.22-23'!G476</f>
        <v>595.1</v>
      </c>
      <c r="G959" s="6">
        <f>'пр.4.1.ведом.22-23'!H476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1202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1202</v>
      </c>
      <c r="E961" s="20" t="s">
        <v>138</v>
      </c>
      <c r="F961" s="6">
        <f>'пр.4.1.ведом.22-23'!G478</f>
        <v>30</v>
      </c>
      <c r="G961" s="6">
        <f>'пр.4.1.ведом.22-23'!H478</f>
        <v>30</v>
      </c>
    </row>
    <row r="962" spans="1:7" ht="47.25" x14ac:dyDescent="0.25">
      <c r="A962" s="25" t="s">
        <v>838</v>
      </c>
      <c r="B962" s="20" t="s">
        <v>238</v>
      </c>
      <c r="C962" s="20" t="s">
        <v>213</v>
      </c>
      <c r="D962" s="20" t="s">
        <v>1310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1310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1310</v>
      </c>
      <c r="E964" s="20" t="s">
        <v>209</v>
      </c>
      <c r="F964" s="6">
        <f>'пр.4.1.ведом.22-23'!G482</f>
        <v>276</v>
      </c>
      <c r="G964" s="6">
        <f>'пр.4.1.ведом.22-23'!H482</f>
        <v>276</v>
      </c>
    </row>
    <row r="965" spans="1:7" ht="63" x14ac:dyDescent="0.25">
      <c r="A965" s="41" t="s">
        <v>1351</v>
      </c>
      <c r="B965" s="24" t="s">
        <v>238</v>
      </c>
      <c r="C965" s="24" t="s">
        <v>213</v>
      </c>
      <c r="D965" s="24" t="s">
        <v>705</v>
      </c>
      <c r="E965" s="206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889</v>
      </c>
      <c r="B966" s="24" t="s">
        <v>238</v>
      </c>
      <c r="C966" s="24" t="s">
        <v>213</v>
      </c>
      <c r="D966" s="24" t="s">
        <v>887</v>
      </c>
      <c r="E966" s="206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1003</v>
      </c>
      <c r="B967" s="20" t="s">
        <v>238</v>
      </c>
      <c r="C967" s="20" t="s">
        <v>213</v>
      </c>
      <c r="D967" s="20" t="s">
        <v>888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888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888</v>
      </c>
      <c r="E969" s="32" t="s">
        <v>134</v>
      </c>
      <c r="F969" s="6">
        <f>'пр.4.1.ведом.22-23'!G487</f>
        <v>74.900000000000006</v>
      </c>
      <c r="G969" s="6">
        <f>'пр.4.1.ведом.22-23'!H487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35">
        <f>F9+F230+F249+F314+F478+F741+F885+F951+F829+F8</f>
        <v>729560.80602499994</v>
      </c>
      <c r="G970" s="335" t="e">
        <f>G9+G230+G249+G314+G478+G741+G885+G951+G829+G8</f>
        <v>#REF!</v>
      </c>
    </row>
    <row r="971" spans="1:7" ht="15.75" hidden="1" x14ac:dyDescent="0.25">
      <c r="A971" s="191"/>
      <c r="B971" s="191"/>
      <c r="C971" s="191"/>
      <c r="D971" s="191"/>
      <c r="E971" s="191"/>
      <c r="F971" s="4">
        <f>'пр.4.1.ведом.22-23'!G1094</f>
        <v>729560.80602499994</v>
      </c>
      <c r="G971" s="4">
        <f>'пр.4.1.ведом.22-23'!H1094</f>
        <v>776239.04999999993</v>
      </c>
    </row>
    <row r="972" spans="1:7" ht="15.75" hidden="1" x14ac:dyDescent="0.25">
      <c r="A972" s="191"/>
      <c r="B972" s="191"/>
      <c r="C972" s="191"/>
      <c r="D972" s="191"/>
      <c r="E972" s="191"/>
      <c r="F972" s="4">
        <f>F971-F970</f>
        <v>0</v>
      </c>
      <c r="G972" s="4" t="e">
        <f>G971-G970</f>
        <v>#REF!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8.28515625" style="387" customWidth="1"/>
    <col min="2" max="2" width="4.5703125" style="387" customWidth="1"/>
    <col min="3" max="3" width="4.140625" style="387" customWidth="1"/>
    <col min="4" max="4" width="15.140625" style="387" customWidth="1"/>
    <col min="5" max="5" width="5.7109375" style="387" customWidth="1"/>
    <col min="6" max="6" width="13.7109375" style="22" customWidth="1"/>
    <col min="7" max="7" width="14.7109375" style="22" customWidth="1"/>
    <col min="8" max="8" width="13.5703125" style="387" hidden="1" customWidth="1"/>
    <col min="9" max="9" width="13.85546875" style="387" hidden="1" customWidth="1"/>
    <col min="10" max="10" width="11.85546875" style="387" hidden="1" customWidth="1"/>
    <col min="11" max="16384" width="9.140625" style="387"/>
  </cols>
  <sheetData>
    <row r="1" spans="1:10" ht="15.75" x14ac:dyDescent="0.25">
      <c r="A1" s="56"/>
      <c r="B1" s="56"/>
      <c r="C1" s="56"/>
      <c r="D1" s="192"/>
      <c r="E1" s="192"/>
      <c r="F1" s="539" t="s">
        <v>1499</v>
      </c>
      <c r="G1" s="539"/>
    </row>
    <row r="2" spans="1:10" ht="15.75" x14ac:dyDescent="0.25">
      <c r="A2" s="56"/>
      <c r="B2" s="56"/>
      <c r="C2" s="56"/>
      <c r="D2" s="192"/>
      <c r="E2" s="192"/>
      <c r="F2" s="539" t="s">
        <v>1497</v>
      </c>
      <c r="G2" s="539"/>
    </row>
    <row r="3" spans="1:10" ht="18.75" x14ac:dyDescent="0.3">
      <c r="A3" s="56"/>
      <c r="B3" s="56"/>
      <c r="C3" s="56"/>
      <c r="D3" s="192"/>
      <c r="E3" s="183"/>
      <c r="F3" s="539" t="s">
        <v>1496</v>
      </c>
      <c r="G3" s="539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56" t="s">
        <v>1304</v>
      </c>
      <c r="B5" s="556"/>
      <c r="C5" s="556"/>
      <c r="D5" s="556"/>
      <c r="E5" s="556"/>
      <c r="F5" s="556"/>
      <c r="G5" s="556"/>
    </row>
    <row r="6" spans="1:10" x14ac:dyDescent="0.25">
      <c r="A6" s="56"/>
      <c r="B6" s="56"/>
      <c r="C6" s="56"/>
      <c r="D6" s="56"/>
      <c r="E6" s="56"/>
      <c r="F6" s="115"/>
      <c r="G6" s="250" t="s">
        <v>1</v>
      </c>
    </row>
    <row r="7" spans="1:10" ht="35.450000000000003" customHeight="1" x14ac:dyDescent="0.25">
      <c r="A7" s="210" t="s">
        <v>592</v>
      </c>
      <c r="B7" s="211" t="s">
        <v>112</v>
      </c>
      <c r="C7" s="211" t="s">
        <v>113</v>
      </c>
      <c r="D7" s="211" t="s">
        <v>114</v>
      </c>
      <c r="E7" s="211" t="s">
        <v>115</v>
      </c>
      <c r="F7" s="251" t="s">
        <v>1083</v>
      </c>
      <c r="G7" s="251" t="s">
        <v>1305</v>
      </c>
      <c r="H7" s="216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247959.91000000003</v>
      </c>
      <c r="I7" s="216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242586.16999999998</v>
      </c>
    </row>
    <row r="8" spans="1:10" ht="16.350000000000001" customHeight="1" x14ac:dyDescent="0.25">
      <c r="A8" s="273" t="s">
        <v>1412</v>
      </c>
      <c r="B8" s="274"/>
      <c r="C8" s="274"/>
      <c r="D8" s="274"/>
      <c r="E8" s="274"/>
      <c r="F8" s="275">
        <f>'пр.4.1. рдпр 22-23 (2)'!D10</f>
        <v>12478.692500000001</v>
      </c>
      <c r="G8" s="275">
        <f>'пр.4.1. рдпр 22-23 (2)'!E10</f>
        <v>25451.88</v>
      </c>
      <c r="H8" s="216"/>
      <c r="I8" s="216"/>
    </row>
    <row r="9" spans="1:10" ht="15.75" x14ac:dyDescent="0.25">
      <c r="A9" s="400" t="s">
        <v>117</v>
      </c>
      <c r="B9" s="7" t="s">
        <v>118</v>
      </c>
      <c r="C9" s="7"/>
      <c r="D9" s="7"/>
      <c r="E9" s="7"/>
      <c r="F9" s="388">
        <f>F10+F29+F45+F106+F136+F128</f>
        <v>136787.41</v>
      </c>
      <c r="G9" s="388">
        <f>G10+G29+G45+G106+G136+G128</f>
        <v>123941.72</v>
      </c>
      <c r="H9" s="209"/>
      <c r="I9" s="209"/>
      <c r="J9" s="209"/>
    </row>
    <row r="10" spans="1:10" ht="47.25" x14ac:dyDescent="0.25">
      <c r="A10" s="400" t="s">
        <v>575</v>
      </c>
      <c r="B10" s="7" t="s">
        <v>118</v>
      </c>
      <c r="C10" s="7" t="s">
        <v>213</v>
      </c>
      <c r="D10" s="7"/>
      <c r="E10" s="7"/>
      <c r="F10" s="388">
        <f>F11+F21</f>
        <v>4867.3999999999996</v>
      </c>
      <c r="G10" s="388">
        <f>G11+G21</f>
        <v>4867.3999999999996</v>
      </c>
      <c r="H10" s="209"/>
      <c r="I10" s="209"/>
    </row>
    <row r="11" spans="1:10" ht="31.5" x14ac:dyDescent="0.25">
      <c r="A11" s="394" t="s">
        <v>916</v>
      </c>
      <c r="B11" s="7" t="s">
        <v>118</v>
      </c>
      <c r="C11" s="7" t="s">
        <v>213</v>
      </c>
      <c r="D11" s="7" t="s">
        <v>857</v>
      </c>
      <c r="E11" s="7"/>
      <c r="F11" s="388">
        <f t="shared" ref="F11:G11" si="0">F12</f>
        <v>4826.8999999999996</v>
      </c>
      <c r="G11" s="388">
        <f t="shared" si="0"/>
        <v>4826.8999999999996</v>
      </c>
    </row>
    <row r="12" spans="1:10" ht="15.75" x14ac:dyDescent="0.25">
      <c r="A12" s="394" t="s">
        <v>917</v>
      </c>
      <c r="B12" s="7" t="s">
        <v>118</v>
      </c>
      <c r="C12" s="7" t="s">
        <v>213</v>
      </c>
      <c r="D12" s="7" t="s">
        <v>858</v>
      </c>
      <c r="E12" s="7"/>
      <c r="F12" s="388">
        <f>F13+F18</f>
        <v>4826.8999999999996</v>
      </c>
      <c r="G12" s="388">
        <f>G13+G18</f>
        <v>4826.8999999999996</v>
      </c>
    </row>
    <row r="13" spans="1:10" ht="47.25" x14ac:dyDescent="0.25">
      <c r="A13" s="29" t="s">
        <v>576</v>
      </c>
      <c r="B13" s="399" t="s">
        <v>118</v>
      </c>
      <c r="C13" s="399" t="s">
        <v>213</v>
      </c>
      <c r="D13" s="399" t="s">
        <v>1328</v>
      </c>
      <c r="E13" s="399"/>
      <c r="F13" s="389">
        <f>F14+F16</f>
        <v>4826.8999999999996</v>
      </c>
      <c r="G13" s="389">
        <f>G14+G16</f>
        <v>4826.8999999999996</v>
      </c>
      <c r="H13" s="216">
        <f>F13+F18+F48+F57+F60+F118+F125+F446+F453+F717+F798+F803+F926+F929+F722</f>
        <v>104071.91</v>
      </c>
      <c r="I13" s="216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399" t="s">
        <v>118</v>
      </c>
      <c r="C14" s="399" t="s">
        <v>213</v>
      </c>
      <c r="D14" s="399" t="s">
        <v>1328</v>
      </c>
      <c r="E14" s="399" t="s">
        <v>128</v>
      </c>
      <c r="F14" s="389">
        <f>F15</f>
        <v>4736.8999999999996</v>
      </c>
      <c r="G14" s="389">
        <f>G15</f>
        <v>4736.8999999999996</v>
      </c>
    </row>
    <row r="15" spans="1:10" ht="31.5" x14ac:dyDescent="0.25">
      <c r="A15" s="29" t="s">
        <v>129</v>
      </c>
      <c r="B15" s="399" t="s">
        <v>118</v>
      </c>
      <c r="C15" s="399" t="s">
        <v>213</v>
      </c>
      <c r="D15" s="399" t="s">
        <v>1328</v>
      </c>
      <c r="E15" s="399" t="s">
        <v>130</v>
      </c>
      <c r="F15" s="389">
        <f>'пр.6.1.ведом.22-23 (2)'!G38</f>
        <v>4736.8999999999996</v>
      </c>
      <c r="G15" s="389">
        <f>'пр.6.1.ведом.22-23 (2)'!H38</f>
        <v>4736.8999999999996</v>
      </c>
    </row>
    <row r="16" spans="1:10" ht="31.5" x14ac:dyDescent="0.25">
      <c r="A16" s="29" t="s">
        <v>131</v>
      </c>
      <c r="B16" s="399" t="s">
        <v>118</v>
      </c>
      <c r="C16" s="399" t="s">
        <v>213</v>
      </c>
      <c r="D16" s="399" t="s">
        <v>1328</v>
      </c>
      <c r="E16" s="399" t="s">
        <v>132</v>
      </c>
      <c r="F16" s="389">
        <f>F17</f>
        <v>90</v>
      </c>
      <c r="G16" s="389">
        <f>G17</f>
        <v>90</v>
      </c>
    </row>
    <row r="17" spans="1:9" ht="47.25" x14ac:dyDescent="0.25">
      <c r="A17" s="29" t="s">
        <v>133</v>
      </c>
      <c r="B17" s="399" t="s">
        <v>118</v>
      </c>
      <c r="C17" s="399" t="s">
        <v>213</v>
      </c>
      <c r="D17" s="399" t="s">
        <v>1328</v>
      </c>
      <c r="E17" s="399" t="s">
        <v>134</v>
      </c>
      <c r="F17" s="389">
        <f>'пр.6.1.ведом.22-23 (2)'!G40</f>
        <v>90</v>
      </c>
      <c r="G17" s="389">
        <f>'пр.6.1.ведом.22-23 (2)'!H40</f>
        <v>90</v>
      </c>
    </row>
    <row r="18" spans="1:9" ht="47.25" hidden="1" x14ac:dyDescent="0.25">
      <c r="A18" s="396" t="s">
        <v>838</v>
      </c>
      <c r="B18" s="399" t="s">
        <v>118</v>
      </c>
      <c r="C18" s="399" t="s">
        <v>213</v>
      </c>
      <c r="D18" s="399" t="s">
        <v>861</v>
      </c>
      <c r="E18" s="399"/>
      <c r="F18" s="389">
        <f>F19</f>
        <v>0</v>
      </c>
      <c r="G18" s="389">
        <f t="shared" ref="G18:G44" si="1">F18</f>
        <v>0</v>
      </c>
    </row>
    <row r="19" spans="1:9" ht="94.5" hidden="1" x14ac:dyDescent="0.25">
      <c r="A19" s="396" t="s">
        <v>127</v>
      </c>
      <c r="B19" s="399" t="s">
        <v>118</v>
      </c>
      <c r="C19" s="399" t="s">
        <v>213</v>
      </c>
      <c r="D19" s="399" t="s">
        <v>861</v>
      </c>
      <c r="E19" s="399" t="s">
        <v>128</v>
      </c>
      <c r="F19" s="389">
        <f>F20</f>
        <v>0</v>
      </c>
      <c r="G19" s="389">
        <f>G20</f>
        <v>0</v>
      </c>
    </row>
    <row r="20" spans="1:9" ht="31.5" hidden="1" x14ac:dyDescent="0.25">
      <c r="A20" s="396" t="s">
        <v>129</v>
      </c>
      <c r="B20" s="399" t="s">
        <v>118</v>
      </c>
      <c r="C20" s="399" t="s">
        <v>213</v>
      </c>
      <c r="D20" s="399" t="s">
        <v>861</v>
      </c>
      <c r="E20" s="399" t="s">
        <v>130</v>
      </c>
      <c r="F20" s="389">
        <f>'пр.6.1.ведом.22-23 (2)'!G43</f>
        <v>0</v>
      </c>
      <c r="G20" s="389">
        <f>'пр.6.1.ведом.22-23 (2)'!H43</f>
        <v>0</v>
      </c>
    </row>
    <row r="21" spans="1:9" ht="47.25" x14ac:dyDescent="0.25">
      <c r="A21" s="394" t="s">
        <v>1337</v>
      </c>
      <c r="B21" s="395" t="s">
        <v>118</v>
      </c>
      <c r="C21" s="7" t="s">
        <v>213</v>
      </c>
      <c r="D21" s="395" t="s">
        <v>162</v>
      </c>
      <c r="E21" s="7"/>
      <c r="F21" s="332">
        <f>F22</f>
        <v>40.5</v>
      </c>
      <c r="G21" s="332">
        <f>G22</f>
        <v>40.5</v>
      </c>
    </row>
    <row r="22" spans="1:9" ht="78.75" x14ac:dyDescent="0.25">
      <c r="A22" s="204" t="s">
        <v>842</v>
      </c>
      <c r="B22" s="395" t="s">
        <v>118</v>
      </c>
      <c r="C22" s="7" t="s">
        <v>213</v>
      </c>
      <c r="D22" s="7" t="s">
        <v>849</v>
      </c>
      <c r="E22" s="7"/>
      <c r="F22" s="332">
        <f>F23+F26</f>
        <v>40.5</v>
      </c>
      <c r="G22" s="332">
        <f>G23+G26</f>
        <v>40.5</v>
      </c>
    </row>
    <row r="23" spans="1:9" ht="63" x14ac:dyDescent="0.25">
      <c r="A23" s="31" t="s">
        <v>695</v>
      </c>
      <c r="B23" s="392" t="s">
        <v>118</v>
      </c>
      <c r="C23" s="392" t="s">
        <v>213</v>
      </c>
      <c r="D23" s="399" t="s">
        <v>992</v>
      </c>
      <c r="E23" s="392"/>
      <c r="F23" s="389">
        <f>F24</f>
        <v>40.5</v>
      </c>
      <c r="G23" s="389">
        <f>G24</f>
        <v>40.5</v>
      </c>
    </row>
    <row r="24" spans="1:9" ht="31.5" x14ac:dyDescent="0.25">
      <c r="A24" s="396" t="s">
        <v>131</v>
      </c>
      <c r="B24" s="392" t="s">
        <v>118</v>
      </c>
      <c r="C24" s="392" t="s">
        <v>213</v>
      </c>
      <c r="D24" s="399" t="s">
        <v>992</v>
      </c>
      <c r="E24" s="392" t="s">
        <v>132</v>
      </c>
      <c r="F24" s="389">
        <f>F25</f>
        <v>40.5</v>
      </c>
      <c r="G24" s="389">
        <f>G25</f>
        <v>40.5</v>
      </c>
    </row>
    <row r="25" spans="1:9" ht="47.25" x14ac:dyDescent="0.25">
      <c r="A25" s="396" t="s">
        <v>133</v>
      </c>
      <c r="B25" s="392" t="s">
        <v>118</v>
      </c>
      <c r="C25" s="392" t="s">
        <v>213</v>
      </c>
      <c r="D25" s="399" t="s">
        <v>696</v>
      </c>
      <c r="E25" s="392" t="s">
        <v>134</v>
      </c>
      <c r="F25" s="389">
        <f>'пр.6.1.ведом.22-23 (2)'!G48</f>
        <v>40.5</v>
      </c>
      <c r="G25" s="389">
        <f>'пр.6.1.ведом.22-23 (2)'!H48</f>
        <v>40.5</v>
      </c>
    </row>
    <row r="26" spans="1:9" ht="63" hidden="1" x14ac:dyDescent="0.25">
      <c r="A26" s="31" t="s">
        <v>695</v>
      </c>
      <c r="B26" s="392" t="s">
        <v>118</v>
      </c>
      <c r="C26" s="392" t="s">
        <v>213</v>
      </c>
      <c r="D26" s="392" t="s">
        <v>991</v>
      </c>
      <c r="E26" s="392"/>
      <c r="F26" s="389">
        <f>F27</f>
        <v>0</v>
      </c>
      <c r="G26" s="389">
        <f>G27</f>
        <v>0</v>
      </c>
    </row>
    <row r="27" spans="1:9" ht="31.5" hidden="1" x14ac:dyDescent="0.25">
      <c r="A27" s="396" t="s">
        <v>131</v>
      </c>
      <c r="B27" s="392" t="s">
        <v>118</v>
      </c>
      <c r="C27" s="392" t="s">
        <v>213</v>
      </c>
      <c r="D27" s="392" t="s">
        <v>991</v>
      </c>
      <c r="E27" s="392" t="s">
        <v>132</v>
      </c>
      <c r="F27" s="389">
        <f>F28</f>
        <v>0</v>
      </c>
      <c r="G27" s="389">
        <f>G28</f>
        <v>0</v>
      </c>
    </row>
    <row r="28" spans="1:9" ht="47.25" hidden="1" x14ac:dyDescent="0.25">
      <c r="A28" s="396" t="s">
        <v>133</v>
      </c>
      <c r="B28" s="392" t="s">
        <v>118</v>
      </c>
      <c r="C28" s="392" t="s">
        <v>213</v>
      </c>
      <c r="D28" s="392" t="s">
        <v>991</v>
      </c>
      <c r="E28" s="392" t="s">
        <v>134</v>
      </c>
      <c r="F28" s="389">
        <f>'пр.6.1.ведом.22-23 (2)'!G51</f>
        <v>0</v>
      </c>
      <c r="G28" s="389">
        <f>'пр.6.1.ведом.22-23 (2)'!H51</f>
        <v>0</v>
      </c>
    </row>
    <row r="29" spans="1:9" ht="78.75" x14ac:dyDescent="0.25">
      <c r="A29" s="400" t="s">
        <v>578</v>
      </c>
      <c r="B29" s="7" t="s">
        <v>118</v>
      </c>
      <c r="C29" s="7" t="s">
        <v>215</v>
      </c>
      <c r="D29" s="7"/>
      <c r="E29" s="7"/>
      <c r="F29" s="388">
        <f t="shared" ref="F29:G30" si="2">F30</f>
        <v>5488</v>
      </c>
      <c r="G29" s="388">
        <f t="shared" si="2"/>
        <v>5488</v>
      </c>
    </row>
    <row r="30" spans="1:9" ht="31.5" x14ac:dyDescent="0.25">
      <c r="A30" s="394" t="s">
        <v>916</v>
      </c>
      <c r="B30" s="7" t="s">
        <v>118</v>
      </c>
      <c r="C30" s="7" t="s">
        <v>215</v>
      </c>
      <c r="D30" s="7" t="s">
        <v>857</v>
      </c>
      <c r="E30" s="7"/>
      <c r="F30" s="388">
        <f t="shared" si="2"/>
        <v>5488</v>
      </c>
      <c r="G30" s="388">
        <f t="shared" si="2"/>
        <v>5488</v>
      </c>
    </row>
    <row r="31" spans="1:9" ht="31.5" x14ac:dyDescent="0.25">
      <c r="A31" s="394" t="s">
        <v>985</v>
      </c>
      <c r="B31" s="7" t="s">
        <v>118</v>
      </c>
      <c r="C31" s="7" t="s">
        <v>215</v>
      </c>
      <c r="D31" s="7" t="s">
        <v>986</v>
      </c>
      <c r="E31" s="7"/>
      <c r="F31" s="388">
        <f>F37+F42+F32</f>
        <v>5488</v>
      </c>
      <c r="G31" s="388">
        <f>G37+G42+G32</f>
        <v>5488</v>
      </c>
    </row>
    <row r="32" spans="1:9" ht="47.25" x14ac:dyDescent="0.25">
      <c r="A32" s="265" t="s">
        <v>1362</v>
      </c>
      <c r="B32" s="392" t="s">
        <v>118</v>
      </c>
      <c r="C32" s="392" t="s">
        <v>215</v>
      </c>
      <c r="D32" s="392" t="s">
        <v>1400</v>
      </c>
      <c r="E32" s="395"/>
      <c r="F32" s="389">
        <f>F33+F35</f>
        <v>4247.6000000000004</v>
      </c>
      <c r="G32" s="389">
        <f>G33+G35</f>
        <v>4247.6000000000004</v>
      </c>
      <c r="H32" s="216">
        <f>F32+F37+F109+F114</f>
        <v>7286.5</v>
      </c>
      <c r="I32" s="216">
        <f>G32+G37+G109+G114</f>
        <v>7286.5</v>
      </c>
    </row>
    <row r="33" spans="1:9" ht="94.5" x14ac:dyDescent="0.25">
      <c r="A33" s="396" t="s">
        <v>127</v>
      </c>
      <c r="B33" s="392" t="s">
        <v>118</v>
      </c>
      <c r="C33" s="392" t="s">
        <v>215</v>
      </c>
      <c r="D33" s="392" t="s">
        <v>1400</v>
      </c>
      <c r="E33" s="392" t="s">
        <v>128</v>
      </c>
      <c r="F33" s="389">
        <f>F34</f>
        <v>4154.6000000000004</v>
      </c>
      <c r="G33" s="389">
        <f>G34</f>
        <v>4154.6000000000004</v>
      </c>
    </row>
    <row r="34" spans="1:9" ht="31.5" x14ac:dyDescent="0.25">
      <c r="A34" s="396" t="s">
        <v>129</v>
      </c>
      <c r="B34" s="392" t="s">
        <v>118</v>
      </c>
      <c r="C34" s="392" t="s">
        <v>215</v>
      </c>
      <c r="D34" s="392" t="s">
        <v>1400</v>
      </c>
      <c r="E34" s="392" t="s">
        <v>130</v>
      </c>
      <c r="F34" s="389">
        <f>'пр.6.1.ведом.22-23 (2)'!G1072</f>
        <v>4154.6000000000004</v>
      </c>
      <c r="G34" s="389">
        <f>'пр.6.1.ведом.22-23 (2)'!H1072</f>
        <v>4154.6000000000004</v>
      </c>
    </row>
    <row r="35" spans="1:9" ht="47.25" x14ac:dyDescent="0.25">
      <c r="A35" s="396" t="s">
        <v>198</v>
      </c>
      <c r="B35" s="392" t="s">
        <v>118</v>
      </c>
      <c r="C35" s="392" t="s">
        <v>215</v>
      </c>
      <c r="D35" s="392" t="s">
        <v>1400</v>
      </c>
      <c r="E35" s="392" t="s">
        <v>132</v>
      </c>
      <c r="F35" s="389">
        <f>F36</f>
        <v>93</v>
      </c>
      <c r="G35" s="389">
        <f>G36</f>
        <v>93</v>
      </c>
    </row>
    <row r="36" spans="1:9" ht="47.25" x14ac:dyDescent="0.25">
      <c r="A36" s="396" t="s">
        <v>133</v>
      </c>
      <c r="B36" s="392" t="s">
        <v>118</v>
      </c>
      <c r="C36" s="392" t="s">
        <v>215</v>
      </c>
      <c r="D36" s="392" t="s">
        <v>1400</v>
      </c>
      <c r="E36" s="392" t="s">
        <v>134</v>
      </c>
      <c r="F36" s="389">
        <f>'пр.6.1.ведом.22-23 (2)'!G1074</f>
        <v>93</v>
      </c>
      <c r="G36" s="389">
        <f>'пр.6.1.ведом.22-23 (2)'!H1074</f>
        <v>93</v>
      </c>
    </row>
    <row r="37" spans="1:9" ht="31.5" x14ac:dyDescent="0.25">
      <c r="A37" s="396" t="s">
        <v>989</v>
      </c>
      <c r="B37" s="399" t="s">
        <v>118</v>
      </c>
      <c r="C37" s="399" t="s">
        <v>215</v>
      </c>
      <c r="D37" s="399" t="s">
        <v>990</v>
      </c>
      <c r="E37" s="399"/>
      <c r="F37" s="389">
        <f>F38+F40</f>
        <v>1240.4000000000001</v>
      </c>
      <c r="G37" s="389">
        <f>G38+G40</f>
        <v>1240.4000000000001</v>
      </c>
    </row>
    <row r="38" spans="1:9" ht="94.5" x14ac:dyDescent="0.25">
      <c r="A38" s="29" t="s">
        <v>127</v>
      </c>
      <c r="B38" s="399" t="s">
        <v>118</v>
      </c>
      <c r="C38" s="399" t="s">
        <v>215</v>
      </c>
      <c r="D38" s="399" t="s">
        <v>990</v>
      </c>
      <c r="E38" s="399" t="s">
        <v>128</v>
      </c>
      <c r="F38" s="389">
        <f>F39</f>
        <v>1240.4000000000001</v>
      </c>
      <c r="G38" s="389">
        <f>G39</f>
        <v>1240.4000000000001</v>
      </c>
    </row>
    <row r="39" spans="1:9" ht="35.450000000000003" customHeight="1" x14ac:dyDescent="0.25">
      <c r="A39" s="29" t="s">
        <v>129</v>
      </c>
      <c r="B39" s="399" t="s">
        <v>118</v>
      </c>
      <c r="C39" s="399" t="s">
        <v>215</v>
      </c>
      <c r="D39" s="399" t="s">
        <v>990</v>
      </c>
      <c r="E39" s="399" t="s">
        <v>130</v>
      </c>
      <c r="F39" s="389">
        <f>'пр.6.1.ведом.22-23 (2)'!G1077</f>
        <v>1240.4000000000001</v>
      </c>
      <c r="G39" s="389">
        <f>'пр.6.1.ведом.22-23 (2)'!H1077</f>
        <v>1240.4000000000001</v>
      </c>
    </row>
    <row r="40" spans="1:9" ht="31.5" hidden="1" x14ac:dyDescent="0.25">
      <c r="A40" s="29" t="s">
        <v>131</v>
      </c>
      <c r="B40" s="399" t="s">
        <v>118</v>
      </c>
      <c r="C40" s="399" t="s">
        <v>215</v>
      </c>
      <c r="D40" s="399" t="s">
        <v>990</v>
      </c>
      <c r="E40" s="399" t="s">
        <v>132</v>
      </c>
      <c r="F40" s="389">
        <f>F41</f>
        <v>0</v>
      </c>
      <c r="G40" s="389">
        <f>G41</f>
        <v>0</v>
      </c>
    </row>
    <row r="41" spans="1:9" ht="47.25" hidden="1" x14ac:dyDescent="0.25">
      <c r="A41" s="29" t="s">
        <v>133</v>
      </c>
      <c r="B41" s="399" t="s">
        <v>118</v>
      </c>
      <c r="C41" s="399" t="s">
        <v>215</v>
      </c>
      <c r="D41" s="399" t="s">
        <v>990</v>
      </c>
      <c r="E41" s="399" t="s">
        <v>134</v>
      </c>
      <c r="F41" s="389">
        <f>'пр.6.1.ведом.22-23 (2)'!G1079</f>
        <v>0</v>
      </c>
      <c r="G41" s="389">
        <f>'пр.6.1.ведом.22-23 (2)'!H1079</f>
        <v>0</v>
      </c>
    </row>
    <row r="42" spans="1:9" ht="47.25" hidden="1" x14ac:dyDescent="0.25">
      <c r="A42" s="396" t="s">
        <v>838</v>
      </c>
      <c r="B42" s="399" t="s">
        <v>118</v>
      </c>
      <c r="C42" s="399" t="s">
        <v>215</v>
      </c>
      <c r="D42" s="399" t="s">
        <v>988</v>
      </c>
      <c r="E42" s="399"/>
      <c r="F42" s="389">
        <f>'[1]Пр.4 Рд,пр, ЦС,ВР 21'!F38</f>
        <v>0</v>
      </c>
      <c r="G42" s="389">
        <f t="shared" si="1"/>
        <v>0</v>
      </c>
    </row>
    <row r="43" spans="1:9" ht="94.5" hidden="1" x14ac:dyDescent="0.25">
      <c r="A43" s="396" t="s">
        <v>127</v>
      </c>
      <c r="B43" s="399" t="s">
        <v>118</v>
      </c>
      <c r="C43" s="399" t="s">
        <v>215</v>
      </c>
      <c r="D43" s="399" t="s">
        <v>988</v>
      </c>
      <c r="E43" s="399" t="s">
        <v>128</v>
      </c>
      <c r="F43" s="389">
        <f>'[1]Пр.4 Рд,пр, ЦС,ВР 21'!F39</f>
        <v>0</v>
      </c>
      <c r="G43" s="389">
        <f t="shared" si="1"/>
        <v>0</v>
      </c>
    </row>
    <row r="44" spans="1:9" ht="39.75" hidden="1" customHeight="1" x14ac:dyDescent="0.25">
      <c r="A44" s="396" t="s">
        <v>129</v>
      </c>
      <c r="B44" s="399" t="s">
        <v>118</v>
      </c>
      <c r="C44" s="399" t="s">
        <v>215</v>
      </c>
      <c r="D44" s="399" t="s">
        <v>988</v>
      </c>
      <c r="E44" s="399" t="s">
        <v>130</v>
      </c>
      <c r="F44" s="389">
        <f>'[1]Пр.4 Рд,пр, ЦС,ВР 21'!F40</f>
        <v>0</v>
      </c>
      <c r="G44" s="389">
        <f t="shared" si="1"/>
        <v>0</v>
      </c>
    </row>
    <row r="45" spans="1:9" ht="78.75" x14ac:dyDescent="0.25">
      <c r="A45" s="400" t="s">
        <v>149</v>
      </c>
      <c r="B45" s="7" t="s">
        <v>118</v>
      </c>
      <c r="C45" s="7" t="s">
        <v>150</v>
      </c>
      <c r="D45" s="7"/>
      <c r="E45" s="7"/>
      <c r="F45" s="388">
        <f>F46+F85</f>
        <v>56977.11</v>
      </c>
      <c r="G45" s="388">
        <f>G46+G85</f>
        <v>43788.420000000006</v>
      </c>
      <c r="H45" s="216">
        <f>'пр.6.1.ведом.22-23 (2)'!H490+'пр.6.1.ведом.22-23 (2)'!H52</f>
        <v>43788.42</v>
      </c>
      <c r="I45" s="216">
        <f>H46-F45</f>
        <v>5218.0900000000038</v>
      </c>
    </row>
    <row r="46" spans="1:9" ht="31.5" x14ac:dyDescent="0.25">
      <c r="A46" s="394" t="s">
        <v>916</v>
      </c>
      <c r="B46" s="7" t="s">
        <v>118</v>
      </c>
      <c r="C46" s="7" t="s">
        <v>150</v>
      </c>
      <c r="D46" s="7" t="s">
        <v>857</v>
      </c>
      <c r="E46" s="7"/>
      <c r="F46" s="388">
        <f>F47+F63</f>
        <v>56293.61</v>
      </c>
      <c r="G46" s="388">
        <f>G47+G63</f>
        <v>43104.920000000006</v>
      </c>
      <c r="H46" s="387">
        <f>50028.3+12166.9</f>
        <v>62195.200000000004</v>
      </c>
    </row>
    <row r="47" spans="1:9" ht="15.75" x14ac:dyDescent="0.25">
      <c r="A47" s="394" t="s">
        <v>917</v>
      </c>
      <c r="B47" s="7" t="s">
        <v>118</v>
      </c>
      <c r="C47" s="7" t="s">
        <v>150</v>
      </c>
      <c r="D47" s="7" t="s">
        <v>858</v>
      </c>
      <c r="E47" s="7"/>
      <c r="F47" s="388">
        <f>F48+F57+F60</f>
        <v>52962.71</v>
      </c>
      <c r="G47" s="388">
        <f>G48+G57+G60</f>
        <v>39989.520000000004</v>
      </c>
    </row>
    <row r="48" spans="1:9" ht="31.5" x14ac:dyDescent="0.25">
      <c r="A48" s="29" t="s">
        <v>896</v>
      </c>
      <c r="B48" s="399" t="s">
        <v>118</v>
      </c>
      <c r="C48" s="399" t="s">
        <v>150</v>
      </c>
      <c r="D48" s="399" t="s">
        <v>859</v>
      </c>
      <c r="E48" s="399"/>
      <c r="F48" s="389">
        <f>F49+F51+F53+F55</f>
        <v>48838.31</v>
      </c>
      <c r="G48" s="389">
        <f>G49+G51+G53+G55</f>
        <v>35865.120000000003</v>
      </c>
      <c r="H48" s="216">
        <f>'пр.6.1.ведом.22-23 (2)'!G55+'пр.6.1.ведом.22-23 (2)'!G493</f>
        <v>48838.31</v>
      </c>
    </row>
    <row r="49" spans="1:9" ht="94.5" x14ac:dyDescent="0.25">
      <c r="A49" s="29" t="s">
        <v>127</v>
      </c>
      <c r="B49" s="399" t="s">
        <v>118</v>
      </c>
      <c r="C49" s="399" t="s">
        <v>150</v>
      </c>
      <c r="D49" s="399" t="s">
        <v>859</v>
      </c>
      <c r="E49" s="399" t="s">
        <v>128</v>
      </c>
      <c r="F49" s="389">
        <f>F50</f>
        <v>42632.909999999996</v>
      </c>
      <c r="G49" s="389">
        <f>G50</f>
        <v>29659.72</v>
      </c>
    </row>
    <row r="50" spans="1:9" ht="40.700000000000003" customHeight="1" x14ac:dyDescent="0.25">
      <c r="A50" s="29" t="s">
        <v>129</v>
      </c>
      <c r="B50" s="399" t="s">
        <v>118</v>
      </c>
      <c r="C50" s="399" t="s">
        <v>150</v>
      </c>
      <c r="D50" s="399" t="s">
        <v>859</v>
      </c>
      <c r="E50" s="399" t="s">
        <v>130</v>
      </c>
      <c r="F50" s="389">
        <f>'пр.6.1.ведом.22-23 (2)'!G495+'пр.6.1.ведом.22-23 (2)'!G57</f>
        <v>42632.909999999996</v>
      </c>
      <c r="G50" s="389">
        <f>'пр.6.1.ведом.22-23 (2)'!H495+'пр.6.1.ведом.22-23 (2)'!H57</f>
        <v>29659.72</v>
      </c>
    </row>
    <row r="51" spans="1:9" ht="31.5" x14ac:dyDescent="0.25">
      <c r="A51" s="29" t="s">
        <v>131</v>
      </c>
      <c r="B51" s="399" t="s">
        <v>118</v>
      </c>
      <c r="C51" s="399" t="s">
        <v>150</v>
      </c>
      <c r="D51" s="399" t="s">
        <v>859</v>
      </c>
      <c r="E51" s="399" t="s">
        <v>132</v>
      </c>
      <c r="F51" s="389">
        <f>F52</f>
        <v>5999.4</v>
      </c>
      <c r="G51" s="389">
        <f>G52</f>
        <v>5999.4</v>
      </c>
    </row>
    <row r="52" spans="1:9" ht="47.25" x14ac:dyDescent="0.25">
      <c r="A52" s="29" t="s">
        <v>133</v>
      </c>
      <c r="B52" s="399" t="s">
        <v>118</v>
      </c>
      <c r="C52" s="399" t="s">
        <v>150</v>
      </c>
      <c r="D52" s="399" t="s">
        <v>859</v>
      </c>
      <c r="E52" s="399" t="s">
        <v>134</v>
      </c>
      <c r="F52" s="389">
        <f>'пр.6.1.ведом.22-23 (2)'!G59+'пр.6.1.ведом.22-23 (2)'!G497</f>
        <v>5999.4</v>
      </c>
      <c r="G52" s="389">
        <f>'пр.6.1.ведом.22-23 (2)'!H59+'пр.6.1.ведом.22-23 (2)'!H497</f>
        <v>5999.4</v>
      </c>
    </row>
    <row r="53" spans="1:9" ht="31.5" hidden="1" x14ac:dyDescent="0.25">
      <c r="A53" s="396" t="s">
        <v>248</v>
      </c>
      <c r="B53" s="399" t="s">
        <v>118</v>
      </c>
      <c r="C53" s="399" t="s">
        <v>150</v>
      </c>
      <c r="D53" s="399" t="s">
        <v>859</v>
      </c>
      <c r="E53" s="399" t="s">
        <v>249</v>
      </c>
      <c r="F53" s="389">
        <f>F54</f>
        <v>0</v>
      </c>
      <c r="G53" s="389">
        <f>G54</f>
        <v>0</v>
      </c>
    </row>
    <row r="54" spans="1:9" ht="31.5" hidden="1" x14ac:dyDescent="0.25">
      <c r="A54" s="396" t="s">
        <v>250</v>
      </c>
      <c r="B54" s="399" t="s">
        <v>118</v>
      </c>
      <c r="C54" s="399" t="s">
        <v>150</v>
      </c>
      <c r="D54" s="399" t="s">
        <v>859</v>
      </c>
      <c r="E54" s="399" t="s">
        <v>251</v>
      </c>
      <c r="F54" s="389">
        <f>'пр.6.1.ведом.22-23 (2)'!G61</f>
        <v>0</v>
      </c>
      <c r="G54" s="389">
        <f>'пр.6.1.ведом.22-23 (2)'!H61</f>
        <v>0</v>
      </c>
    </row>
    <row r="55" spans="1:9" ht="15.75" x14ac:dyDescent="0.25">
      <c r="A55" s="29" t="s">
        <v>135</v>
      </c>
      <c r="B55" s="399" t="s">
        <v>118</v>
      </c>
      <c r="C55" s="399" t="s">
        <v>150</v>
      </c>
      <c r="D55" s="399" t="s">
        <v>859</v>
      </c>
      <c r="E55" s="399" t="s">
        <v>145</v>
      </c>
      <c r="F55" s="389">
        <f>F56</f>
        <v>206</v>
      </c>
      <c r="G55" s="389">
        <f>G56</f>
        <v>206</v>
      </c>
    </row>
    <row r="56" spans="1:9" ht="19.5" customHeight="1" x14ac:dyDescent="0.25">
      <c r="A56" s="29" t="s">
        <v>568</v>
      </c>
      <c r="B56" s="399" t="s">
        <v>118</v>
      </c>
      <c r="C56" s="399" t="s">
        <v>150</v>
      </c>
      <c r="D56" s="399" t="s">
        <v>859</v>
      </c>
      <c r="E56" s="399" t="s">
        <v>138</v>
      </c>
      <c r="F56" s="389">
        <f>'пр.6.1.ведом.22-23 (2)'!G63+'пр.6.1.ведом.22-23 (2)'!G499</f>
        <v>206</v>
      </c>
      <c r="G56" s="389">
        <f>'пр.6.1.ведом.22-23 (2)'!H63+'пр.6.1.ведом.22-23 (2)'!H499</f>
        <v>206</v>
      </c>
    </row>
    <row r="57" spans="1:9" ht="31.5" x14ac:dyDescent="0.25">
      <c r="A57" s="396" t="s">
        <v>153</v>
      </c>
      <c r="B57" s="392" t="s">
        <v>118</v>
      </c>
      <c r="C57" s="392" t="s">
        <v>150</v>
      </c>
      <c r="D57" s="399" t="s">
        <v>860</v>
      </c>
      <c r="E57" s="392"/>
      <c r="F57" s="389">
        <f>F58</f>
        <v>2071.4</v>
      </c>
      <c r="G57" s="389">
        <f>G58</f>
        <v>2071.4</v>
      </c>
    </row>
    <row r="58" spans="1:9" ht="94.5" x14ac:dyDescent="0.25">
      <c r="A58" s="396" t="s">
        <v>127</v>
      </c>
      <c r="B58" s="392" t="s">
        <v>118</v>
      </c>
      <c r="C58" s="392" t="s">
        <v>150</v>
      </c>
      <c r="D58" s="399" t="s">
        <v>860</v>
      </c>
      <c r="E58" s="392" t="s">
        <v>128</v>
      </c>
      <c r="F58" s="389">
        <f>F59</f>
        <v>2071.4</v>
      </c>
      <c r="G58" s="389">
        <f>G59</f>
        <v>2071.4</v>
      </c>
    </row>
    <row r="59" spans="1:9" ht="33.75" customHeight="1" x14ac:dyDescent="0.25">
      <c r="A59" s="396" t="s">
        <v>129</v>
      </c>
      <c r="B59" s="392" t="s">
        <v>118</v>
      </c>
      <c r="C59" s="392" t="s">
        <v>150</v>
      </c>
      <c r="D59" s="399" t="s">
        <v>860</v>
      </c>
      <c r="E59" s="392" t="s">
        <v>130</v>
      </c>
      <c r="F59" s="389">
        <f>'пр.6.1.ведом.22-23 (2)'!G66</f>
        <v>2071.4</v>
      </c>
      <c r="G59" s="389">
        <f>'пр.6.1.ведом.22-23 (2)'!H66</f>
        <v>2071.4</v>
      </c>
    </row>
    <row r="60" spans="1:9" ht="47.25" x14ac:dyDescent="0.25">
      <c r="A60" s="396" t="s">
        <v>838</v>
      </c>
      <c r="B60" s="399" t="s">
        <v>118</v>
      </c>
      <c r="C60" s="392" t="s">
        <v>150</v>
      </c>
      <c r="D60" s="399" t="s">
        <v>861</v>
      </c>
      <c r="E60" s="399"/>
      <c r="F60" s="389">
        <f>F61</f>
        <v>2053</v>
      </c>
      <c r="G60" s="389">
        <f>G61</f>
        <v>2053</v>
      </c>
    </row>
    <row r="61" spans="1:9" ht="94.5" x14ac:dyDescent="0.25">
      <c r="A61" s="396" t="s">
        <v>127</v>
      </c>
      <c r="B61" s="399" t="s">
        <v>118</v>
      </c>
      <c r="C61" s="392" t="s">
        <v>150</v>
      </c>
      <c r="D61" s="399" t="s">
        <v>861</v>
      </c>
      <c r="E61" s="399" t="s">
        <v>128</v>
      </c>
      <c r="F61" s="389">
        <f>F62</f>
        <v>2053</v>
      </c>
      <c r="G61" s="389">
        <f>G62</f>
        <v>2053</v>
      </c>
    </row>
    <row r="62" spans="1:9" ht="31.7" customHeight="1" x14ac:dyDescent="0.25">
      <c r="A62" s="396" t="s">
        <v>129</v>
      </c>
      <c r="B62" s="399" t="s">
        <v>118</v>
      </c>
      <c r="C62" s="392" t="s">
        <v>150</v>
      </c>
      <c r="D62" s="399" t="s">
        <v>861</v>
      </c>
      <c r="E62" s="399" t="s">
        <v>130</v>
      </c>
      <c r="F62" s="389">
        <f>'пр.6.1.ведом.22-23 (2)'!G69+'пр.6.1.ведом.22-23 (2)'!G502</f>
        <v>2053</v>
      </c>
      <c r="G62" s="389">
        <f>'пр.6.1.ведом.22-23 (2)'!H69+'пр.6.1.ведом.22-23 (2)'!H502</f>
        <v>2053</v>
      </c>
      <c r="H62" s="216">
        <f>'пр.6.1.ведом.22-23 (2)'!G500+'пр.6.1.ведом.22-23 (2)'!G67</f>
        <v>2053</v>
      </c>
    </row>
    <row r="63" spans="1:9" ht="47.25" x14ac:dyDescent="0.25">
      <c r="A63" s="394" t="s">
        <v>884</v>
      </c>
      <c r="B63" s="7" t="s">
        <v>118</v>
      </c>
      <c r="C63" s="395" t="s">
        <v>150</v>
      </c>
      <c r="D63" s="7" t="s">
        <v>862</v>
      </c>
      <c r="E63" s="7"/>
      <c r="F63" s="388">
        <f>F64+F67+F72+F77+F82</f>
        <v>3330.9</v>
      </c>
      <c r="G63" s="388">
        <f>G64+G67+G72+G77+G82</f>
        <v>3115.4</v>
      </c>
    </row>
    <row r="64" spans="1:9" ht="47.25" hidden="1" x14ac:dyDescent="0.25">
      <c r="A64" s="396" t="s">
        <v>187</v>
      </c>
      <c r="B64" s="399" t="s">
        <v>118</v>
      </c>
      <c r="C64" s="392" t="s">
        <v>150</v>
      </c>
      <c r="D64" s="399" t="s">
        <v>1073</v>
      </c>
      <c r="E64" s="7"/>
      <c r="F64" s="389">
        <f>F65</f>
        <v>0</v>
      </c>
      <c r="G64" s="389">
        <f>G65</f>
        <v>0</v>
      </c>
      <c r="H64" s="216">
        <f>F64+F67+F72+F77+F82+F286+F342+F875</f>
        <v>7245.5</v>
      </c>
      <c r="I64" s="216">
        <f>G64+G67+G72+G77+G82+G286+G342+G875</f>
        <v>6996.6</v>
      </c>
    </row>
    <row r="65" spans="1:7" ht="31.5" hidden="1" x14ac:dyDescent="0.25">
      <c r="A65" s="396" t="s">
        <v>131</v>
      </c>
      <c r="B65" s="399" t="s">
        <v>118</v>
      </c>
      <c r="C65" s="392" t="s">
        <v>150</v>
      </c>
      <c r="D65" s="399" t="s">
        <v>1073</v>
      </c>
      <c r="E65" s="399" t="s">
        <v>132</v>
      </c>
      <c r="F65" s="389">
        <f>F66</f>
        <v>0</v>
      </c>
      <c r="G65" s="389">
        <f>G66</f>
        <v>0</v>
      </c>
    </row>
    <row r="66" spans="1:7" ht="47.25" hidden="1" x14ac:dyDescent="0.25">
      <c r="A66" s="396" t="s">
        <v>133</v>
      </c>
      <c r="B66" s="399" t="s">
        <v>118</v>
      </c>
      <c r="C66" s="392" t="s">
        <v>150</v>
      </c>
      <c r="D66" s="399" t="s">
        <v>1073</v>
      </c>
      <c r="E66" s="399" t="s">
        <v>134</v>
      </c>
      <c r="F66" s="389">
        <f>'пр.6.1.ведом.22-23 (2)'!G73</f>
        <v>0</v>
      </c>
      <c r="G66" s="389">
        <f>'пр.6.1.ведом.22-23 (2)'!H73</f>
        <v>0</v>
      </c>
    </row>
    <row r="67" spans="1:7" ht="47.25" x14ac:dyDescent="0.25">
      <c r="A67" s="45" t="s">
        <v>189</v>
      </c>
      <c r="B67" s="399" t="s">
        <v>118</v>
      </c>
      <c r="C67" s="392" t="s">
        <v>150</v>
      </c>
      <c r="D67" s="399" t="s">
        <v>919</v>
      </c>
      <c r="E67" s="399"/>
      <c r="F67" s="389">
        <f>F68+F70</f>
        <v>563.20000000000005</v>
      </c>
      <c r="G67" s="389">
        <f>G68+G70</f>
        <v>347.7</v>
      </c>
    </row>
    <row r="68" spans="1:7" ht="94.5" x14ac:dyDescent="0.25">
      <c r="A68" s="29" t="s">
        <v>127</v>
      </c>
      <c r="B68" s="399" t="s">
        <v>118</v>
      </c>
      <c r="C68" s="392" t="s">
        <v>150</v>
      </c>
      <c r="D68" s="399" t="s">
        <v>919</v>
      </c>
      <c r="E68" s="399" t="s">
        <v>128</v>
      </c>
      <c r="F68" s="389">
        <f>F69</f>
        <v>563.20000000000005</v>
      </c>
      <c r="G68" s="389">
        <f>G69</f>
        <v>347.7</v>
      </c>
    </row>
    <row r="69" spans="1:7" ht="31.5" x14ac:dyDescent="0.25">
      <c r="A69" s="29" t="s">
        <v>129</v>
      </c>
      <c r="B69" s="399" t="s">
        <v>118</v>
      </c>
      <c r="C69" s="392" t="s">
        <v>150</v>
      </c>
      <c r="D69" s="399" t="s">
        <v>919</v>
      </c>
      <c r="E69" s="399" t="s">
        <v>130</v>
      </c>
      <c r="F69" s="389">
        <f>'пр.6.1.ведом.22-23 (2)'!G76</f>
        <v>563.20000000000005</v>
      </c>
      <c r="G69" s="389">
        <f>'пр.6.1.ведом.22-23 (2)'!H76</f>
        <v>347.7</v>
      </c>
    </row>
    <row r="70" spans="1:7" ht="31.5" hidden="1" x14ac:dyDescent="0.25">
      <c r="A70" s="396" t="s">
        <v>131</v>
      </c>
      <c r="B70" s="399" t="s">
        <v>118</v>
      </c>
      <c r="C70" s="392" t="s">
        <v>150</v>
      </c>
      <c r="D70" s="399" t="s">
        <v>919</v>
      </c>
      <c r="E70" s="399" t="s">
        <v>132</v>
      </c>
      <c r="F70" s="389">
        <f>F71</f>
        <v>0</v>
      </c>
      <c r="G70" s="389">
        <f>G71</f>
        <v>0</v>
      </c>
    </row>
    <row r="71" spans="1:7" ht="47.25" hidden="1" x14ac:dyDescent="0.25">
      <c r="A71" s="396" t="s">
        <v>133</v>
      </c>
      <c r="B71" s="399" t="s">
        <v>118</v>
      </c>
      <c r="C71" s="392" t="s">
        <v>150</v>
      </c>
      <c r="D71" s="399" t="s">
        <v>919</v>
      </c>
      <c r="E71" s="399" t="s">
        <v>134</v>
      </c>
      <c r="F71" s="389">
        <f>'пр.6.1.ведом.22-23 (2)'!G78</f>
        <v>0</v>
      </c>
      <c r="G71" s="389">
        <f>'пр.6.1.ведом.22-23 (2)'!H78</f>
        <v>0</v>
      </c>
    </row>
    <row r="72" spans="1:7" ht="63" x14ac:dyDescent="0.25">
      <c r="A72" s="31" t="s">
        <v>194</v>
      </c>
      <c r="B72" s="399" t="s">
        <v>118</v>
      </c>
      <c r="C72" s="392" t="s">
        <v>150</v>
      </c>
      <c r="D72" s="399" t="s">
        <v>1028</v>
      </c>
      <c r="E72" s="399"/>
      <c r="F72" s="389">
        <f>F73+F75</f>
        <v>1411.1</v>
      </c>
      <c r="G72" s="389">
        <f>G73+G75</f>
        <v>1411.1</v>
      </c>
    </row>
    <row r="73" spans="1:7" ht="94.5" x14ac:dyDescent="0.25">
      <c r="A73" s="29" t="s">
        <v>127</v>
      </c>
      <c r="B73" s="399" t="s">
        <v>118</v>
      </c>
      <c r="C73" s="392" t="s">
        <v>150</v>
      </c>
      <c r="D73" s="399" t="s">
        <v>1028</v>
      </c>
      <c r="E73" s="399" t="s">
        <v>128</v>
      </c>
      <c r="F73" s="389">
        <f>F74</f>
        <v>1372.1</v>
      </c>
      <c r="G73" s="389">
        <f>G74</f>
        <v>1372.1</v>
      </c>
    </row>
    <row r="74" spans="1:7" ht="33" customHeight="1" x14ac:dyDescent="0.25">
      <c r="A74" s="29" t="s">
        <v>129</v>
      </c>
      <c r="B74" s="399" t="s">
        <v>118</v>
      </c>
      <c r="C74" s="392" t="s">
        <v>150</v>
      </c>
      <c r="D74" s="399" t="s">
        <v>1028</v>
      </c>
      <c r="E74" s="399" t="s">
        <v>130</v>
      </c>
      <c r="F74" s="389">
        <f>'пр.6.1.ведом.22-23 (2)'!G81</f>
        <v>1372.1</v>
      </c>
      <c r="G74" s="389">
        <f>'пр.6.1.ведом.22-23 (2)'!H81</f>
        <v>1372.1</v>
      </c>
    </row>
    <row r="75" spans="1:7" ht="31.5" x14ac:dyDescent="0.25">
      <c r="A75" s="396" t="s">
        <v>131</v>
      </c>
      <c r="B75" s="399" t="s">
        <v>118</v>
      </c>
      <c r="C75" s="392" t="s">
        <v>150</v>
      </c>
      <c r="D75" s="399" t="s">
        <v>1028</v>
      </c>
      <c r="E75" s="399" t="s">
        <v>132</v>
      </c>
      <c r="F75" s="389">
        <f>F76</f>
        <v>39</v>
      </c>
      <c r="G75" s="389">
        <f>G76</f>
        <v>39</v>
      </c>
    </row>
    <row r="76" spans="1:7" ht="47.25" x14ac:dyDescent="0.25">
      <c r="A76" s="396" t="s">
        <v>133</v>
      </c>
      <c r="B76" s="399" t="s">
        <v>118</v>
      </c>
      <c r="C76" s="392" t="s">
        <v>150</v>
      </c>
      <c r="D76" s="399" t="s">
        <v>1028</v>
      </c>
      <c r="E76" s="399" t="s">
        <v>134</v>
      </c>
      <c r="F76" s="389">
        <f>'пр.6.1.ведом.22-23 (2)'!G83</f>
        <v>39</v>
      </c>
      <c r="G76" s="389">
        <f>'пр.6.1.ведом.22-23 (2)'!H83</f>
        <v>39</v>
      </c>
    </row>
    <row r="77" spans="1:7" ht="47.25" x14ac:dyDescent="0.25">
      <c r="A77" s="45" t="s">
        <v>196</v>
      </c>
      <c r="B77" s="399" t="s">
        <v>118</v>
      </c>
      <c r="C77" s="392" t="s">
        <v>150</v>
      </c>
      <c r="D77" s="399" t="s">
        <v>920</v>
      </c>
      <c r="E77" s="399"/>
      <c r="F77" s="389">
        <f>F78+F80</f>
        <v>1334.3</v>
      </c>
      <c r="G77" s="389">
        <f>G78+G80</f>
        <v>1334.3</v>
      </c>
    </row>
    <row r="78" spans="1:7" ht="94.5" x14ac:dyDescent="0.25">
      <c r="A78" s="29" t="s">
        <v>127</v>
      </c>
      <c r="B78" s="399" t="s">
        <v>118</v>
      </c>
      <c r="C78" s="392" t="s">
        <v>150</v>
      </c>
      <c r="D78" s="399" t="s">
        <v>920</v>
      </c>
      <c r="E78" s="399" t="s">
        <v>128</v>
      </c>
      <c r="F78" s="389">
        <f>F79</f>
        <v>1300.3</v>
      </c>
      <c r="G78" s="389">
        <f>G79</f>
        <v>1300.3</v>
      </c>
    </row>
    <row r="79" spans="1:7" ht="33.75" customHeight="1" x14ac:dyDescent="0.25">
      <c r="A79" s="29" t="s">
        <v>129</v>
      </c>
      <c r="B79" s="399" t="s">
        <v>118</v>
      </c>
      <c r="C79" s="392" t="s">
        <v>150</v>
      </c>
      <c r="D79" s="399" t="s">
        <v>920</v>
      </c>
      <c r="E79" s="399" t="s">
        <v>130</v>
      </c>
      <c r="F79" s="389">
        <f>'пр.6.1.ведом.22-23 (2)'!G86</f>
        <v>1300.3</v>
      </c>
      <c r="G79" s="389">
        <f>'пр.6.1.ведом.22-23 (2)'!H86</f>
        <v>1300.3</v>
      </c>
    </row>
    <row r="80" spans="1:7" ht="31.5" x14ac:dyDescent="0.25">
      <c r="A80" s="29" t="s">
        <v>131</v>
      </c>
      <c r="B80" s="399" t="s">
        <v>118</v>
      </c>
      <c r="C80" s="392" t="s">
        <v>150</v>
      </c>
      <c r="D80" s="399" t="s">
        <v>920</v>
      </c>
      <c r="E80" s="399" t="s">
        <v>132</v>
      </c>
      <c r="F80" s="389">
        <f>F81</f>
        <v>34</v>
      </c>
      <c r="G80" s="389">
        <f>G81</f>
        <v>34</v>
      </c>
    </row>
    <row r="81" spans="1:7" ht="47.25" x14ac:dyDescent="0.25">
      <c r="A81" s="29" t="s">
        <v>133</v>
      </c>
      <c r="B81" s="399" t="s">
        <v>118</v>
      </c>
      <c r="C81" s="392" t="s">
        <v>150</v>
      </c>
      <c r="D81" s="399" t="s">
        <v>920</v>
      </c>
      <c r="E81" s="399" t="s">
        <v>134</v>
      </c>
      <c r="F81" s="389">
        <f>'пр.6.1.ведом.22-23 (2)'!G88</f>
        <v>34</v>
      </c>
      <c r="G81" s="389">
        <f>'пр.6.1.ведом.22-23 (2)'!H88</f>
        <v>34</v>
      </c>
    </row>
    <row r="82" spans="1:7" ht="94.5" x14ac:dyDescent="0.25">
      <c r="A82" s="31" t="s">
        <v>1167</v>
      </c>
      <c r="B82" s="392" t="s">
        <v>118</v>
      </c>
      <c r="C82" s="392" t="s">
        <v>150</v>
      </c>
      <c r="D82" s="392" t="s">
        <v>1166</v>
      </c>
      <c r="E82" s="392"/>
      <c r="F82" s="397">
        <f>F83</f>
        <v>22.3</v>
      </c>
      <c r="G82" s="397">
        <f>G83</f>
        <v>22.3</v>
      </c>
    </row>
    <row r="83" spans="1:7" ht="94.5" x14ac:dyDescent="0.25">
      <c r="A83" s="396" t="s">
        <v>127</v>
      </c>
      <c r="B83" s="392" t="s">
        <v>118</v>
      </c>
      <c r="C83" s="392" t="s">
        <v>150</v>
      </c>
      <c r="D83" s="392" t="s">
        <v>1166</v>
      </c>
      <c r="E83" s="392" t="s">
        <v>128</v>
      </c>
      <c r="F83" s="397">
        <f>F84</f>
        <v>22.3</v>
      </c>
      <c r="G83" s="397">
        <f>G84</f>
        <v>22.3</v>
      </c>
    </row>
    <row r="84" spans="1:7" ht="38.25" customHeight="1" x14ac:dyDescent="0.25">
      <c r="A84" s="396" t="s">
        <v>129</v>
      </c>
      <c r="B84" s="392" t="s">
        <v>118</v>
      </c>
      <c r="C84" s="392" t="s">
        <v>150</v>
      </c>
      <c r="D84" s="392" t="s">
        <v>1166</v>
      </c>
      <c r="E84" s="392" t="s">
        <v>130</v>
      </c>
      <c r="F84" s="397">
        <f>'пр.6.1.ведом.22-23 (2)'!G506</f>
        <v>22.3</v>
      </c>
      <c r="G84" s="389">
        <f>'пр.6.1.ведом.22-23 (2)'!H506</f>
        <v>22.3</v>
      </c>
    </row>
    <row r="85" spans="1:7" ht="47.25" x14ac:dyDescent="0.25">
      <c r="A85" s="394" t="s">
        <v>1363</v>
      </c>
      <c r="B85" s="395" t="s">
        <v>118</v>
      </c>
      <c r="C85" s="395" t="s">
        <v>150</v>
      </c>
      <c r="D85" s="395" t="s">
        <v>162</v>
      </c>
      <c r="E85" s="395"/>
      <c r="F85" s="388">
        <f>F86+F90+F102</f>
        <v>683.5</v>
      </c>
      <c r="G85" s="388">
        <f>G86+G90+G102</f>
        <v>683.5</v>
      </c>
    </row>
    <row r="86" spans="1:7" ht="78.75" x14ac:dyDescent="0.25">
      <c r="A86" s="269" t="s">
        <v>1338</v>
      </c>
      <c r="B86" s="395" t="s">
        <v>118</v>
      </c>
      <c r="C86" s="395" t="s">
        <v>150</v>
      </c>
      <c r="D86" s="7" t="s">
        <v>848</v>
      </c>
      <c r="E86" s="395"/>
      <c r="F86" s="388">
        <f t="shared" ref="F86:G88" si="3">F87</f>
        <v>606</v>
      </c>
      <c r="G86" s="388">
        <f t="shared" si="3"/>
        <v>606</v>
      </c>
    </row>
    <row r="87" spans="1:7" ht="63" x14ac:dyDescent="0.25">
      <c r="A87" s="29" t="s">
        <v>1306</v>
      </c>
      <c r="B87" s="392" t="s">
        <v>118</v>
      </c>
      <c r="C87" s="392" t="s">
        <v>150</v>
      </c>
      <c r="D87" s="399" t="s">
        <v>840</v>
      </c>
      <c r="E87" s="392"/>
      <c r="F87" s="389">
        <f t="shared" si="3"/>
        <v>606</v>
      </c>
      <c r="G87" s="389">
        <f t="shared" si="3"/>
        <v>606</v>
      </c>
    </row>
    <row r="88" spans="1:7" ht="31.5" x14ac:dyDescent="0.25">
      <c r="A88" s="396" t="s">
        <v>131</v>
      </c>
      <c r="B88" s="392" t="s">
        <v>118</v>
      </c>
      <c r="C88" s="392" t="s">
        <v>150</v>
      </c>
      <c r="D88" s="399" t="s">
        <v>840</v>
      </c>
      <c r="E88" s="392" t="s">
        <v>132</v>
      </c>
      <c r="F88" s="389">
        <f t="shared" si="3"/>
        <v>606</v>
      </c>
      <c r="G88" s="389">
        <f t="shared" si="3"/>
        <v>606</v>
      </c>
    </row>
    <row r="89" spans="1:7" ht="47.25" x14ac:dyDescent="0.25">
      <c r="A89" s="396" t="s">
        <v>133</v>
      </c>
      <c r="B89" s="392" t="s">
        <v>118</v>
      </c>
      <c r="C89" s="392" t="s">
        <v>150</v>
      </c>
      <c r="D89" s="399" t="s">
        <v>840</v>
      </c>
      <c r="E89" s="392" t="s">
        <v>134</v>
      </c>
      <c r="F89" s="389">
        <f>'пр.6.1.ведом.22-23 (2)'!G93</f>
        <v>606</v>
      </c>
      <c r="G89" s="389">
        <f>'пр.6.1.ведом.22-23 (2)'!H93</f>
        <v>606</v>
      </c>
    </row>
    <row r="90" spans="1:7" ht="78.75" x14ac:dyDescent="0.25">
      <c r="A90" s="204" t="s">
        <v>842</v>
      </c>
      <c r="B90" s="395" t="s">
        <v>118</v>
      </c>
      <c r="C90" s="395" t="s">
        <v>150</v>
      </c>
      <c r="D90" s="7" t="s">
        <v>849</v>
      </c>
      <c r="E90" s="395"/>
      <c r="F90" s="388">
        <f>F91+F96+F99</f>
        <v>77</v>
      </c>
      <c r="G90" s="388">
        <f>G91+G96+G99</f>
        <v>77</v>
      </c>
    </row>
    <row r="91" spans="1:7" ht="63" x14ac:dyDescent="0.25">
      <c r="A91" s="172" t="s">
        <v>165</v>
      </c>
      <c r="B91" s="392" t="s">
        <v>118</v>
      </c>
      <c r="C91" s="392" t="s">
        <v>150</v>
      </c>
      <c r="D91" s="399" t="s">
        <v>841</v>
      </c>
      <c r="E91" s="392"/>
      <c r="F91" s="389">
        <f>F92+F94</f>
        <v>77</v>
      </c>
      <c r="G91" s="389">
        <f>G92+G94</f>
        <v>77</v>
      </c>
    </row>
    <row r="92" spans="1:7" ht="94.5" x14ac:dyDescent="0.25">
      <c r="A92" s="396" t="s">
        <v>127</v>
      </c>
      <c r="B92" s="392" t="s">
        <v>118</v>
      </c>
      <c r="C92" s="392" t="s">
        <v>150</v>
      </c>
      <c r="D92" s="399" t="s">
        <v>841</v>
      </c>
      <c r="E92" s="392" t="s">
        <v>128</v>
      </c>
      <c r="F92" s="389">
        <f>F93</f>
        <v>37</v>
      </c>
      <c r="G92" s="389">
        <f>G93</f>
        <v>37</v>
      </c>
    </row>
    <row r="93" spans="1:7" ht="31.5" x14ac:dyDescent="0.25">
      <c r="A93" s="396" t="s">
        <v>129</v>
      </c>
      <c r="B93" s="392" t="s">
        <v>118</v>
      </c>
      <c r="C93" s="392" t="s">
        <v>150</v>
      </c>
      <c r="D93" s="399" t="s">
        <v>841</v>
      </c>
      <c r="E93" s="392" t="s">
        <v>130</v>
      </c>
      <c r="F93" s="389">
        <f>'пр.6.1.ведом.22-23 (2)'!G97</f>
        <v>37</v>
      </c>
      <c r="G93" s="389">
        <f>'пр.6.1.ведом.22-23 (2)'!H97</f>
        <v>37</v>
      </c>
    </row>
    <row r="94" spans="1:7" ht="31.5" x14ac:dyDescent="0.25">
      <c r="A94" s="396" t="s">
        <v>131</v>
      </c>
      <c r="B94" s="392" t="s">
        <v>118</v>
      </c>
      <c r="C94" s="392" t="s">
        <v>150</v>
      </c>
      <c r="D94" s="399" t="s">
        <v>841</v>
      </c>
      <c r="E94" s="392" t="s">
        <v>132</v>
      </c>
      <c r="F94" s="389">
        <f>F95</f>
        <v>40</v>
      </c>
      <c r="G94" s="389">
        <f>G95</f>
        <v>40</v>
      </c>
    </row>
    <row r="95" spans="1:7" ht="47.25" x14ac:dyDescent="0.25">
      <c r="A95" s="396" t="s">
        <v>133</v>
      </c>
      <c r="B95" s="392" t="s">
        <v>118</v>
      </c>
      <c r="C95" s="392" t="s">
        <v>150</v>
      </c>
      <c r="D95" s="399" t="s">
        <v>841</v>
      </c>
      <c r="E95" s="392" t="s">
        <v>134</v>
      </c>
      <c r="F95" s="389">
        <f>'пр.6.1.ведом.22-23 (2)'!G99</f>
        <v>40</v>
      </c>
      <c r="G95" s="389">
        <f>'пр.6.1.ведом.22-23 (2)'!H99</f>
        <v>40</v>
      </c>
    </row>
    <row r="96" spans="1:7" ht="47.25" hidden="1" x14ac:dyDescent="0.25">
      <c r="A96" s="31" t="s">
        <v>1095</v>
      </c>
      <c r="B96" s="392" t="s">
        <v>118</v>
      </c>
      <c r="C96" s="392" t="s">
        <v>150</v>
      </c>
      <c r="D96" s="399" t="s">
        <v>992</v>
      </c>
      <c r="E96" s="392"/>
      <c r="F96" s="397">
        <f>F97</f>
        <v>0</v>
      </c>
      <c r="G96" s="397">
        <f>G97</f>
        <v>0</v>
      </c>
    </row>
    <row r="97" spans="1:8" ht="31.5" hidden="1" x14ac:dyDescent="0.25">
      <c r="A97" s="396" t="s">
        <v>131</v>
      </c>
      <c r="B97" s="392" t="s">
        <v>118</v>
      </c>
      <c r="C97" s="392" t="s">
        <v>150</v>
      </c>
      <c r="D97" s="399" t="s">
        <v>992</v>
      </c>
      <c r="E97" s="392" t="s">
        <v>132</v>
      </c>
      <c r="F97" s="397">
        <f>F98</f>
        <v>0</v>
      </c>
      <c r="G97" s="397">
        <f>G98</f>
        <v>0</v>
      </c>
    </row>
    <row r="98" spans="1:8" ht="47.25" hidden="1" x14ac:dyDescent="0.25">
      <c r="A98" s="396" t="s">
        <v>133</v>
      </c>
      <c r="B98" s="392" t="s">
        <v>118</v>
      </c>
      <c r="C98" s="392" t="s">
        <v>150</v>
      </c>
      <c r="D98" s="399" t="s">
        <v>696</v>
      </c>
      <c r="E98" s="392" t="s">
        <v>134</v>
      </c>
      <c r="F98" s="397">
        <f>'пр.6.1.ведом.22-23 (2)'!G102</f>
        <v>0</v>
      </c>
      <c r="G98" s="397">
        <f>'пр.6.1.ведом.22-23 (2)'!H102</f>
        <v>0</v>
      </c>
    </row>
    <row r="99" spans="1:8" ht="63" hidden="1" x14ac:dyDescent="0.25">
      <c r="A99" s="31" t="s">
        <v>695</v>
      </c>
      <c r="B99" s="392" t="s">
        <v>118</v>
      </c>
      <c r="C99" s="392" t="s">
        <v>150</v>
      </c>
      <c r="D99" s="392" t="s">
        <v>991</v>
      </c>
      <c r="E99" s="392"/>
      <c r="F99" s="397">
        <f>F100</f>
        <v>0</v>
      </c>
      <c r="G99" s="397">
        <f>G100</f>
        <v>0</v>
      </c>
    </row>
    <row r="100" spans="1:8" ht="31.5" hidden="1" x14ac:dyDescent="0.25">
      <c r="A100" s="396" t="s">
        <v>131</v>
      </c>
      <c r="B100" s="392" t="s">
        <v>118</v>
      </c>
      <c r="C100" s="392" t="s">
        <v>150</v>
      </c>
      <c r="D100" s="392" t="s">
        <v>991</v>
      </c>
      <c r="E100" s="392" t="s">
        <v>132</v>
      </c>
      <c r="F100" s="397">
        <f>F101</f>
        <v>0</v>
      </c>
      <c r="G100" s="397">
        <f>G101</f>
        <v>0</v>
      </c>
    </row>
    <row r="101" spans="1:8" ht="47.25" hidden="1" x14ac:dyDescent="0.25">
      <c r="A101" s="396" t="s">
        <v>133</v>
      </c>
      <c r="B101" s="392" t="s">
        <v>118</v>
      </c>
      <c r="C101" s="392" t="s">
        <v>150</v>
      </c>
      <c r="D101" s="392" t="s">
        <v>991</v>
      </c>
      <c r="E101" s="392" t="s">
        <v>134</v>
      </c>
      <c r="F101" s="397">
        <f>'пр.6.1.ведом.22-23 (2)'!G105</f>
        <v>0</v>
      </c>
      <c r="G101" s="397">
        <f>'пр.6.1.ведом.22-23 (2)'!H105</f>
        <v>0</v>
      </c>
    </row>
    <row r="102" spans="1:8" ht="62.45" customHeight="1" x14ac:dyDescent="0.25">
      <c r="A102" s="205" t="s">
        <v>1002</v>
      </c>
      <c r="B102" s="395" t="s">
        <v>118</v>
      </c>
      <c r="C102" s="395" t="s">
        <v>150</v>
      </c>
      <c r="D102" s="7" t="s">
        <v>850</v>
      </c>
      <c r="E102" s="395"/>
      <c r="F102" s="388">
        <f t="shared" ref="F102:G104" si="4">F103</f>
        <v>0.5</v>
      </c>
      <c r="G102" s="388">
        <f t="shared" si="4"/>
        <v>0.5</v>
      </c>
    </row>
    <row r="103" spans="1:8" ht="47.25" x14ac:dyDescent="0.25">
      <c r="A103" s="33" t="s">
        <v>191</v>
      </c>
      <c r="B103" s="392" t="s">
        <v>118</v>
      </c>
      <c r="C103" s="392" t="s">
        <v>150</v>
      </c>
      <c r="D103" s="399" t="s">
        <v>843</v>
      </c>
      <c r="E103" s="392"/>
      <c r="F103" s="389">
        <f t="shared" si="4"/>
        <v>0.5</v>
      </c>
      <c r="G103" s="389">
        <f t="shared" si="4"/>
        <v>0.5</v>
      </c>
    </row>
    <row r="104" spans="1:8" ht="31.5" x14ac:dyDescent="0.25">
      <c r="A104" s="396" t="s">
        <v>131</v>
      </c>
      <c r="B104" s="392" t="s">
        <v>118</v>
      </c>
      <c r="C104" s="392" t="s">
        <v>150</v>
      </c>
      <c r="D104" s="399" t="s">
        <v>843</v>
      </c>
      <c r="E104" s="392" t="s">
        <v>132</v>
      </c>
      <c r="F104" s="389">
        <f t="shared" si="4"/>
        <v>0.5</v>
      </c>
      <c r="G104" s="389">
        <f t="shared" si="4"/>
        <v>0.5</v>
      </c>
    </row>
    <row r="105" spans="1:8" ht="47.25" x14ac:dyDescent="0.25">
      <c r="A105" s="396" t="s">
        <v>133</v>
      </c>
      <c r="B105" s="392" t="s">
        <v>118</v>
      </c>
      <c r="C105" s="392" t="s">
        <v>150</v>
      </c>
      <c r="D105" s="399" t="s">
        <v>843</v>
      </c>
      <c r="E105" s="392" t="s">
        <v>134</v>
      </c>
      <c r="F105" s="389">
        <f>'пр.6.1.ведом.22-23 (2)'!G109</f>
        <v>0.5</v>
      </c>
      <c r="G105" s="389">
        <f>'пр.6.1.ведом.22-23 (2)'!H109</f>
        <v>0.5</v>
      </c>
    </row>
    <row r="106" spans="1:8" ht="63" x14ac:dyDescent="0.25">
      <c r="A106" s="400" t="s">
        <v>119</v>
      </c>
      <c r="B106" s="7" t="s">
        <v>118</v>
      </c>
      <c r="C106" s="7" t="s">
        <v>120</v>
      </c>
      <c r="D106" s="7"/>
      <c r="E106" s="7"/>
      <c r="F106" s="388">
        <f t="shared" ref="F106:G106" si="5">F107</f>
        <v>16636.7</v>
      </c>
      <c r="G106" s="388">
        <f t="shared" si="5"/>
        <v>16636.7</v>
      </c>
      <c r="H106" s="216">
        <f>'пр.6.1.ведом.22-23 (2)'!H113+'пр.6.1.ведом.22-23 (2)'!H12+'пр.6.1.ведом.22-23 (2)'!H1083</f>
        <v>16636.7</v>
      </c>
    </row>
    <row r="107" spans="1:8" ht="31.5" x14ac:dyDescent="0.25">
      <c r="A107" s="394" t="s">
        <v>916</v>
      </c>
      <c r="B107" s="7" t="s">
        <v>118</v>
      </c>
      <c r="C107" s="7" t="s">
        <v>120</v>
      </c>
      <c r="D107" s="7" t="s">
        <v>857</v>
      </c>
      <c r="E107" s="7"/>
      <c r="F107" s="388">
        <f>F117+F108</f>
        <v>16636.7</v>
      </c>
      <c r="G107" s="388">
        <f>G117+G108</f>
        <v>16636.7</v>
      </c>
    </row>
    <row r="108" spans="1:8" ht="31.5" x14ac:dyDescent="0.25">
      <c r="A108" s="394" t="s">
        <v>985</v>
      </c>
      <c r="B108" s="7" t="s">
        <v>118</v>
      </c>
      <c r="C108" s="7" t="s">
        <v>120</v>
      </c>
      <c r="D108" s="7" t="s">
        <v>986</v>
      </c>
      <c r="E108" s="7"/>
      <c r="F108" s="388">
        <f>F109+F114</f>
        <v>1798.5</v>
      </c>
      <c r="G108" s="388">
        <f>G109+G114</f>
        <v>1798.5</v>
      </c>
    </row>
    <row r="109" spans="1:8" ht="31.5" x14ac:dyDescent="0.25">
      <c r="A109" s="396" t="s">
        <v>896</v>
      </c>
      <c r="B109" s="392" t="s">
        <v>118</v>
      </c>
      <c r="C109" s="392" t="s">
        <v>120</v>
      </c>
      <c r="D109" s="392" t="s">
        <v>990</v>
      </c>
      <c r="E109" s="392"/>
      <c r="F109" s="389">
        <f>F110+F112</f>
        <v>1752.5</v>
      </c>
      <c r="G109" s="389">
        <f>G110+G112</f>
        <v>1752.5</v>
      </c>
    </row>
    <row r="110" spans="1:8" ht="94.5" x14ac:dyDescent="0.25">
      <c r="A110" s="396" t="s">
        <v>127</v>
      </c>
      <c r="B110" s="392" t="s">
        <v>118</v>
      </c>
      <c r="C110" s="392" t="s">
        <v>120</v>
      </c>
      <c r="D110" s="392" t="s">
        <v>990</v>
      </c>
      <c r="E110" s="392" t="s">
        <v>128</v>
      </c>
      <c r="F110" s="389">
        <f>F111</f>
        <v>1734.5</v>
      </c>
      <c r="G110" s="389">
        <f>G111</f>
        <v>1734.5</v>
      </c>
    </row>
    <row r="111" spans="1:8" ht="31.5" x14ac:dyDescent="0.25">
      <c r="A111" s="396" t="s">
        <v>129</v>
      </c>
      <c r="B111" s="392" t="s">
        <v>118</v>
      </c>
      <c r="C111" s="392" t="s">
        <v>120</v>
      </c>
      <c r="D111" s="392" t="s">
        <v>990</v>
      </c>
      <c r="E111" s="392" t="s">
        <v>130</v>
      </c>
      <c r="F111" s="389">
        <f>'пр.6.1.ведом.22-23 (2)'!G1088</f>
        <v>1734.5</v>
      </c>
      <c r="G111" s="389">
        <f>'пр.6.1.ведом.22-23 (2)'!H1088</f>
        <v>1734.5</v>
      </c>
    </row>
    <row r="112" spans="1:8" ht="47.25" x14ac:dyDescent="0.25">
      <c r="A112" s="396" t="s">
        <v>198</v>
      </c>
      <c r="B112" s="392" t="s">
        <v>118</v>
      </c>
      <c r="C112" s="392" t="s">
        <v>120</v>
      </c>
      <c r="D112" s="392" t="s">
        <v>990</v>
      </c>
      <c r="E112" s="392" t="s">
        <v>132</v>
      </c>
      <c r="F112" s="389">
        <f>F113</f>
        <v>18</v>
      </c>
      <c r="G112" s="389">
        <f>G113</f>
        <v>18</v>
      </c>
    </row>
    <row r="113" spans="1:7" ht="47.25" x14ac:dyDescent="0.25">
      <c r="A113" s="396" t="s">
        <v>133</v>
      </c>
      <c r="B113" s="392" t="s">
        <v>118</v>
      </c>
      <c r="C113" s="392" t="s">
        <v>120</v>
      </c>
      <c r="D113" s="392" t="s">
        <v>990</v>
      </c>
      <c r="E113" s="392" t="s">
        <v>134</v>
      </c>
      <c r="F113" s="389">
        <f>'пр.6.1.ведом.22-23 (2)'!G1090</f>
        <v>18</v>
      </c>
      <c r="G113" s="389">
        <f>'пр.6.1.ведом.22-23 (2)'!H1090</f>
        <v>18</v>
      </c>
    </row>
    <row r="114" spans="1:7" ht="47.25" x14ac:dyDescent="0.25">
      <c r="A114" s="396" t="s">
        <v>838</v>
      </c>
      <c r="B114" s="392" t="s">
        <v>118</v>
      </c>
      <c r="C114" s="392" t="s">
        <v>120</v>
      </c>
      <c r="D114" s="392" t="s">
        <v>988</v>
      </c>
      <c r="E114" s="392"/>
      <c r="F114" s="389">
        <f>F115</f>
        <v>46</v>
      </c>
      <c r="G114" s="389">
        <f>G115</f>
        <v>46</v>
      </c>
    </row>
    <row r="115" spans="1:7" ht="94.5" x14ac:dyDescent="0.25">
      <c r="A115" s="396" t="s">
        <v>127</v>
      </c>
      <c r="B115" s="392" t="s">
        <v>118</v>
      </c>
      <c r="C115" s="392" t="s">
        <v>120</v>
      </c>
      <c r="D115" s="392" t="s">
        <v>988</v>
      </c>
      <c r="E115" s="392" t="s">
        <v>128</v>
      </c>
      <c r="F115" s="389">
        <f>F116</f>
        <v>46</v>
      </c>
      <c r="G115" s="389">
        <f>G116</f>
        <v>46</v>
      </c>
    </row>
    <row r="116" spans="1:7" ht="31.5" x14ac:dyDescent="0.25">
      <c r="A116" s="396" t="s">
        <v>129</v>
      </c>
      <c r="B116" s="392" t="s">
        <v>118</v>
      </c>
      <c r="C116" s="392" t="s">
        <v>120</v>
      </c>
      <c r="D116" s="392" t="s">
        <v>988</v>
      </c>
      <c r="E116" s="392" t="s">
        <v>130</v>
      </c>
      <c r="F116" s="389">
        <f>'пр.6.1.ведом.22-23 (2)'!G1093</f>
        <v>46</v>
      </c>
      <c r="G116" s="389">
        <f>'пр.6.1.ведом.22-23 (2)'!H1093</f>
        <v>46</v>
      </c>
    </row>
    <row r="117" spans="1:7" ht="15.75" x14ac:dyDescent="0.25">
      <c r="A117" s="394" t="s">
        <v>917</v>
      </c>
      <c r="B117" s="7" t="s">
        <v>118</v>
      </c>
      <c r="C117" s="7" t="s">
        <v>120</v>
      </c>
      <c r="D117" s="7" t="s">
        <v>858</v>
      </c>
      <c r="E117" s="7"/>
      <c r="F117" s="388">
        <f>F118+F125</f>
        <v>14838.2</v>
      </c>
      <c r="G117" s="388">
        <f>G118+G125</f>
        <v>14838.2</v>
      </c>
    </row>
    <row r="118" spans="1:7" ht="31.5" x14ac:dyDescent="0.25">
      <c r="A118" s="29" t="s">
        <v>896</v>
      </c>
      <c r="B118" s="399" t="s">
        <v>118</v>
      </c>
      <c r="C118" s="399" t="s">
        <v>120</v>
      </c>
      <c r="D118" s="399" t="s">
        <v>859</v>
      </c>
      <c r="E118" s="399"/>
      <c r="F118" s="389">
        <f>F119+F121+F123</f>
        <v>14372.2</v>
      </c>
      <c r="G118" s="389">
        <f>G119+G121+G123</f>
        <v>14372.2</v>
      </c>
    </row>
    <row r="119" spans="1:7" ht="94.5" x14ac:dyDescent="0.25">
      <c r="A119" s="29" t="s">
        <v>127</v>
      </c>
      <c r="B119" s="399" t="s">
        <v>118</v>
      </c>
      <c r="C119" s="399" t="s">
        <v>120</v>
      </c>
      <c r="D119" s="399" t="s">
        <v>859</v>
      </c>
      <c r="E119" s="399" t="s">
        <v>128</v>
      </c>
      <c r="F119" s="389">
        <f>F120</f>
        <v>13367.2</v>
      </c>
      <c r="G119" s="389">
        <f>G120</f>
        <v>13367.2</v>
      </c>
    </row>
    <row r="120" spans="1:7" ht="31.5" x14ac:dyDescent="0.25">
      <c r="A120" s="29" t="s">
        <v>129</v>
      </c>
      <c r="B120" s="399" t="s">
        <v>118</v>
      </c>
      <c r="C120" s="399" t="s">
        <v>120</v>
      </c>
      <c r="D120" s="399" t="s">
        <v>859</v>
      </c>
      <c r="E120" s="399" t="s">
        <v>130</v>
      </c>
      <c r="F120" s="389">
        <f>'пр.6.1.ведом.22-23 (2)'!G118+'пр.6.1.ведом.22-23 (2)'!G17</f>
        <v>13367.2</v>
      </c>
      <c r="G120" s="389">
        <f>'пр.6.1.ведом.22-23 (2)'!H118+'пр.6.1.ведом.22-23 (2)'!H17</f>
        <v>13367.2</v>
      </c>
    </row>
    <row r="121" spans="1:7" ht="31.5" x14ac:dyDescent="0.25">
      <c r="A121" s="29" t="s">
        <v>131</v>
      </c>
      <c r="B121" s="399" t="s">
        <v>118</v>
      </c>
      <c r="C121" s="399" t="s">
        <v>120</v>
      </c>
      <c r="D121" s="399" t="s">
        <v>859</v>
      </c>
      <c r="E121" s="399" t="s">
        <v>132</v>
      </c>
      <c r="F121" s="389">
        <f>F122</f>
        <v>977</v>
      </c>
      <c r="G121" s="389">
        <f>G122</f>
        <v>977</v>
      </c>
    </row>
    <row r="122" spans="1:7" ht="47.25" x14ac:dyDescent="0.25">
      <c r="A122" s="29" t="s">
        <v>133</v>
      </c>
      <c r="B122" s="399" t="s">
        <v>118</v>
      </c>
      <c r="C122" s="399" t="s">
        <v>120</v>
      </c>
      <c r="D122" s="399" t="s">
        <v>859</v>
      </c>
      <c r="E122" s="399" t="s">
        <v>134</v>
      </c>
      <c r="F122" s="389">
        <f>'пр.6.1.ведом.22-23 (2)'!G19</f>
        <v>977</v>
      </c>
      <c r="G122" s="389">
        <f>'пр.6.1.ведом.22-23 (2)'!H19</f>
        <v>977</v>
      </c>
    </row>
    <row r="123" spans="1:7" ht="15.75" x14ac:dyDescent="0.25">
      <c r="A123" s="29" t="s">
        <v>135</v>
      </c>
      <c r="B123" s="399" t="s">
        <v>118</v>
      </c>
      <c r="C123" s="399" t="s">
        <v>120</v>
      </c>
      <c r="D123" s="399" t="s">
        <v>859</v>
      </c>
      <c r="E123" s="399" t="s">
        <v>145</v>
      </c>
      <c r="F123" s="389">
        <f>F124</f>
        <v>28</v>
      </c>
      <c r="G123" s="389">
        <f>G124</f>
        <v>28</v>
      </c>
    </row>
    <row r="124" spans="1:7" ht="15.75" x14ac:dyDescent="0.25">
      <c r="A124" s="29" t="s">
        <v>568</v>
      </c>
      <c r="B124" s="399" t="s">
        <v>118</v>
      </c>
      <c r="C124" s="399" t="s">
        <v>120</v>
      </c>
      <c r="D124" s="399" t="s">
        <v>859</v>
      </c>
      <c r="E124" s="399" t="s">
        <v>138</v>
      </c>
      <c r="F124" s="389">
        <f>'пр.6.1.ведом.22-23 (2)'!G21</f>
        <v>28</v>
      </c>
      <c r="G124" s="389">
        <f>'пр.6.1.ведом.22-23 (2)'!H21</f>
        <v>28</v>
      </c>
    </row>
    <row r="125" spans="1:7" ht="47.25" x14ac:dyDescent="0.25">
      <c r="A125" s="396" t="s">
        <v>838</v>
      </c>
      <c r="B125" s="392" t="s">
        <v>118</v>
      </c>
      <c r="C125" s="392" t="s">
        <v>120</v>
      </c>
      <c r="D125" s="392" t="s">
        <v>861</v>
      </c>
      <c r="E125" s="392"/>
      <c r="F125" s="389">
        <f>F126</f>
        <v>466</v>
      </c>
      <c r="G125" s="389">
        <f>G126</f>
        <v>466</v>
      </c>
    </row>
    <row r="126" spans="1:7" ht="94.5" x14ac:dyDescent="0.25">
      <c r="A126" s="396" t="s">
        <v>127</v>
      </c>
      <c r="B126" s="392" t="s">
        <v>118</v>
      </c>
      <c r="C126" s="392" t="s">
        <v>120</v>
      </c>
      <c r="D126" s="392" t="s">
        <v>861</v>
      </c>
      <c r="E126" s="392" t="s">
        <v>128</v>
      </c>
      <c r="F126" s="389">
        <f>F127</f>
        <v>466</v>
      </c>
      <c r="G126" s="389">
        <f>G127</f>
        <v>466</v>
      </c>
    </row>
    <row r="127" spans="1:7" ht="31.5" x14ac:dyDescent="0.25">
      <c r="A127" s="396" t="s">
        <v>129</v>
      </c>
      <c r="B127" s="392" t="s">
        <v>118</v>
      </c>
      <c r="C127" s="392" t="s">
        <v>120</v>
      </c>
      <c r="D127" s="392" t="s">
        <v>861</v>
      </c>
      <c r="E127" s="392" t="s">
        <v>130</v>
      </c>
      <c r="F127" s="389">
        <f>'пр.6.1.ведом.22-23 (2)'!G24+'пр.6.1.ведом.22-23 (2)'!G121</f>
        <v>466</v>
      </c>
      <c r="G127" s="389">
        <f>'пр.6.1.ведом.22-23 (2)'!H24+'пр.6.1.ведом.22-23 (2)'!H121</f>
        <v>466</v>
      </c>
    </row>
    <row r="128" spans="1:7" ht="15.75" hidden="1" customHeight="1" x14ac:dyDescent="0.25">
      <c r="A128" s="394" t="s">
        <v>1145</v>
      </c>
      <c r="B128" s="395" t="s">
        <v>118</v>
      </c>
      <c r="C128" s="395" t="s">
        <v>264</v>
      </c>
      <c r="D128" s="395"/>
      <c r="E128" s="392"/>
      <c r="F128" s="393">
        <f t="shared" ref="F128:G130" si="6">F129</f>
        <v>0</v>
      </c>
      <c r="G128" s="393">
        <f t="shared" si="6"/>
        <v>0</v>
      </c>
    </row>
    <row r="129" spans="1:8" ht="15.75" hidden="1" customHeight="1" x14ac:dyDescent="0.25">
      <c r="A129" s="394" t="s">
        <v>141</v>
      </c>
      <c r="B129" s="395" t="s">
        <v>118</v>
      </c>
      <c r="C129" s="395" t="s">
        <v>264</v>
      </c>
      <c r="D129" s="395" t="s">
        <v>865</v>
      </c>
      <c r="E129" s="392"/>
      <c r="F129" s="393">
        <f t="shared" si="6"/>
        <v>0</v>
      </c>
      <c r="G129" s="393">
        <f t="shared" si="6"/>
        <v>0</v>
      </c>
    </row>
    <row r="130" spans="1:8" ht="31.7" hidden="1" customHeight="1" x14ac:dyDescent="0.25">
      <c r="A130" s="394" t="s">
        <v>869</v>
      </c>
      <c r="B130" s="395" t="s">
        <v>118</v>
      </c>
      <c r="C130" s="395" t="s">
        <v>264</v>
      </c>
      <c r="D130" s="395" t="s">
        <v>864</v>
      </c>
      <c r="E130" s="392"/>
      <c r="F130" s="393">
        <f t="shared" si="6"/>
        <v>0</v>
      </c>
      <c r="G130" s="393">
        <f t="shared" si="6"/>
        <v>0</v>
      </c>
    </row>
    <row r="131" spans="1:8" ht="31.7" hidden="1" customHeight="1" x14ac:dyDescent="0.25">
      <c r="A131" s="45" t="s">
        <v>199</v>
      </c>
      <c r="B131" s="392" t="s">
        <v>118</v>
      </c>
      <c r="C131" s="392" t="s">
        <v>264</v>
      </c>
      <c r="D131" s="392" t="s">
        <v>1144</v>
      </c>
      <c r="E131" s="392"/>
      <c r="F131" s="397">
        <f>F132+F134</f>
        <v>0</v>
      </c>
      <c r="G131" s="397">
        <f>G132+G134</f>
        <v>0</v>
      </c>
    </row>
    <row r="132" spans="1:8" ht="94.7" hidden="1" customHeight="1" x14ac:dyDescent="0.25">
      <c r="A132" s="396" t="s">
        <v>127</v>
      </c>
      <c r="B132" s="392" t="s">
        <v>118</v>
      </c>
      <c r="C132" s="392" t="s">
        <v>264</v>
      </c>
      <c r="D132" s="392" t="s">
        <v>1144</v>
      </c>
      <c r="E132" s="392" t="s">
        <v>128</v>
      </c>
      <c r="F132" s="397">
        <f>F133</f>
        <v>0</v>
      </c>
      <c r="G132" s="397">
        <f>G133</f>
        <v>0</v>
      </c>
    </row>
    <row r="133" spans="1:8" ht="47.25" hidden="1" customHeight="1" x14ac:dyDescent="0.25">
      <c r="A133" s="396" t="s">
        <v>129</v>
      </c>
      <c r="B133" s="392" t="s">
        <v>118</v>
      </c>
      <c r="C133" s="392" t="s">
        <v>264</v>
      </c>
      <c r="D133" s="392" t="s">
        <v>1144</v>
      </c>
      <c r="E133" s="392" t="s">
        <v>130</v>
      </c>
      <c r="F133" s="397">
        <f>'пр.6.1.ведом.22-23 (2)'!G127</f>
        <v>0</v>
      </c>
      <c r="G133" s="397">
        <f>'пр.6.1.ведом.22-23 (2)'!H127</f>
        <v>0</v>
      </c>
    </row>
    <row r="134" spans="1:8" ht="47.25" hidden="1" customHeight="1" x14ac:dyDescent="0.25">
      <c r="A134" s="396" t="s">
        <v>198</v>
      </c>
      <c r="B134" s="392" t="s">
        <v>118</v>
      </c>
      <c r="C134" s="392" t="s">
        <v>264</v>
      </c>
      <c r="D134" s="392" t="s">
        <v>1144</v>
      </c>
      <c r="E134" s="392" t="s">
        <v>132</v>
      </c>
      <c r="F134" s="397">
        <f>F135</f>
        <v>0</v>
      </c>
      <c r="G134" s="397">
        <f>G135</f>
        <v>0</v>
      </c>
    </row>
    <row r="135" spans="1:8" ht="47.25" hidden="1" customHeight="1" x14ac:dyDescent="0.25">
      <c r="A135" s="396" t="s">
        <v>133</v>
      </c>
      <c r="B135" s="392" t="s">
        <v>118</v>
      </c>
      <c r="C135" s="392" t="s">
        <v>264</v>
      </c>
      <c r="D135" s="392" t="s">
        <v>1144</v>
      </c>
      <c r="E135" s="392" t="s">
        <v>134</v>
      </c>
      <c r="F135" s="397">
        <f>'пр.6.1.ведом.22-23 (2)'!G129</f>
        <v>0</v>
      </c>
      <c r="G135" s="397">
        <f>'пр.6.1.ведом.22-23 (2)'!H129</f>
        <v>0</v>
      </c>
    </row>
    <row r="136" spans="1:8" ht="15.75" x14ac:dyDescent="0.25">
      <c r="A136" s="400" t="s">
        <v>139</v>
      </c>
      <c r="B136" s="7" t="s">
        <v>118</v>
      </c>
      <c r="C136" s="7" t="s">
        <v>140</v>
      </c>
      <c r="D136" s="7"/>
      <c r="E136" s="7"/>
      <c r="F136" s="388">
        <f>F137+F168+F182+F199+F208+F213+F218+F177</f>
        <v>52818.200000000004</v>
      </c>
      <c r="G136" s="388">
        <f>G137+G168+G182+G199+G208+G213+G218+G177</f>
        <v>53161.200000000004</v>
      </c>
    </row>
    <row r="137" spans="1:8" ht="15.75" x14ac:dyDescent="0.25">
      <c r="A137" s="394" t="s">
        <v>141</v>
      </c>
      <c r="B137" s="395" t="s">
        <v>118</v>
      </c>
      <c r="C137" s="395" t="s">
        <v>140</v>
      </c>
      <c r="D137" s="395" t="s">
        <v>865</v>
      </c>
      <c r="E137" s="395"/>
      <c r="F137" s="388">
        <f>F138+F149+F159</f>
        <v>52313.200000000004</v>
      </c>
      <c r="G137" s="388">
        <f>G138+G149+G159</f>
        <v>52313.200000000004</v>
      </c>
    </row>
    <row r="138" spans="1:8" ht="15.75" x14ac:dyDescent="0.25">
      <c r="A138" s="394" t="s">
        <v>953</v>
      </c>
      <c r="B138" s="395" t="s">
        <v>118</v>
      </c>
      <c r="C138" s="395" t="s">
        <v>140</v>
      </c>
      <c r="D138" s="395" t="s">
        <v>952</v>
      </c>
      <c r="E138" s="395"/>
      <c r="F138" s="333">
        <f>F142+F139</f>
        <v>41282.100000000006</v>
      </c>
      <c r="G138" s="333">
        <f>G142+G139</f>
        <v>41282.100000000006</v>
      </c>
    </row>
    <row r="139" spans="1:8" ht="47.25" x14ac:dyDescent="0.25">
      <c r="A139" s="396" t="s">
        <v>838</v>
      </c>
      <c r="B139" s="392" t="s">
        <v>118</v>
      </c>
      <c r="C139" s="392" t="s">
        <v>140</v>
      </c>
      <c r="D139" s="392" t="s">
        <v>955</v>
      </c>
      <c r="E139" s="392"/>
      <c r="F139" s="389">
        <f>F140</f>
        <v>1072</v>
      </c>
      <c r="G139" s="389">
        <f>G140</f>
        <v>1072</v>
      </c>
      <c r="H139" s="216">
        <f>F139+F142</f>
        <v>41282.100000000006</v>
      </c>
    </row>
    <row r="140" spans="1:8" ht="94.5" x14ac:dyDescent="0.25">
      <c r="A140" s="396" t="s">
        <v>127</v>
      </c>
      <c r="B140" s="392" t="s">
        <v>118</v>
      </c>
      <c r="C140" s="392" t="s">
        <v>140</v>
      </c>
      <c r="D140" s="392" t="s">
        <v>955</v>
      </c>
      <c r="E140" s="392" t="s">
        <v>128</v>
      </c>
      <c r="F140" s="389">
        <f>F141</f>
        <v>1072</v>
      </c>
      <c r="G140" s="389">
        <f>G141</f>
        <v>1072</v>
      </c>
    </row>
    <row r="141" spans="1:8" ht="31.5" x14ac:dyDescent="0.25">
      <c r="A141" s="396" t="s">
        <v>129</v>
      </c>
      <c r="B141" s="392" t="s">
        <v>118</v>
      </c>
      <c r="C141" s="392" t="s">
        <v>140</v>
      </c>
      <c r="D141" s="392" t="s">
        <v>955</v>
      </c>
      <c r="E141" s="392" t="s">
        <v>209</v>
      </c>
      <c r="F141" s="389">
        <f>'пр.6.1.ведом.22-23 (2)'!G838</f>
        <v>1072</v>
      </c>
      <c r="G141" s="389">
        <f>'пр.6.1.ведом.22-23 (2)'!H838</f>
        <v>1072</v>
      </c>
    </row>
    <row r="142" spans="1:8" ht="31.5" x14ac:dyDescent="0.25">
      <c r="A142" s="396" t="s">
        <v>801</v>
      </c>
      <c r="B142" s="392" t="s">
        <v>118</v>
      </c>
      <c r="C142" s="392" t="s">
        <v>140</v>
      </c>
      <c r="D142" s="392" t="s">
        <v>954</v>
      </c>
      <c r="E142" s="392"/>
      <c r="F142" s="389">
        <f>F143+F145+F147</f>
        <v>40210.100000000006</v>
      </c>
      <c r="G142" s="389">
        <f>G143+G145+G147</f>
        <v>40210.100000000006</v>
      </c>
    </row>
    <row r="143" spans="1:8" ht="94.5" x14ac:dyDescent="0.25">
      <c r="A143" s="396" t="s">
        <v>127</v>
      </c>
      <c r="B143" s="392" t="s">
        <v>118</v>
      </c>
      <c r="C143" s="392" t="s">
        <v>140</v>
      </c>
      <c r="D143" s="392" t="s">
        <v>954</v>
      </c>
      <c r="E143" s="392" t="s">
        <v>128</v>
      </c>
      <c r="F143" s="389">
        <f>F144</f>
        <v>32825.800000000003</v>
      </c>
      <c r="G143" s="389">
        <f>G144</f>
        <v>32825.800000000003</v>
      </c>
    </row>
    <row r="144" spans="1:8" ht="31.5" x14ac:dyDescent="0.25">
      <c r="A144" s="46" t="s">
        <v>342</v>
      </c>
      <c r="B144" s="392" t="s">
        <v>118</v>
      </c>
      <c r="C144" s="392" t="s">
        <v>140</v>
      </c>
      <c r="D144" s="392" t="s">
        <v>954</v>
      </c>
      <c r="E144" s="392" t="s">
        <v>209</v>
      </c>
      <c r="F144" s="389">
        <f>'пр.6.1.ведом.22-23 (2)'!G841</f>
        <v>32825.800000000003</v>
      </c>
      <c r="G144" s="389">
        <f>'пр.6.1.ведом.22-23 (2)'!H841</f>
        <v>32825.800000000003</v>
      </c>
    </row>
    <row r="145" spans="1:8" ht="31.5" x14ac:dyDescent="0.25">
      <c r="A145" s="396" t="s">
        <v>131</v>
      </c>
      <c r="B145" s="392" t="s">
        <v>118</v>
      </c>
      <c r="C145" s="392" t="s">
        <v>140</v>
      </c>
      <c r="D145" s="392" t="s">
        <v>954</v>
      </c>
      <c r="E145" s="392" t="s">
        <v>132</v>
      </c>
      <c r="F145" s="389">
        <f>F146</f>
        <v>6963.3</v>
      </c>
      <c r="G145" s="389">
        <f>G146</f>
        <v>6963.3</v>
      </c>
    </row>
    <row r="146" spans="1:8" ht="47.25" x14ac:dyDescent="0.25">
      <c r="A146" s="396" t="s">
        <v>133</v>
      </c>
      <c r="B146" s="392" t="s">
        <v>118</v>
      </c>
      <c r="C146" s="392" t="s">
        <v>140</v>
      </c>
      <c r="D146" s="392" t="s">
        <v>954</v>
      </c>
      <c r="E146" s="392" t="s">
        <v>134</v>
      </c>
      <c r="F146" s="389">
        <f>'пр.6.1.ведом.22-23 (2)'!G843</f>
        <v>6963.3</v>
      </c>
      <c r="G146" s="389">
        <f>'пр.6.1.ведом.22-23 (2)'!H843</f>
        <v>6963.3</v>
      </c>
    </row>
    <row r="147" spans="1:8" ht="15.75" x14ac:dyDescent="0.25">
      <c r="A147" s="396" t="s">
        <v>135</v>
      </c>
      <c r="B147" s="392" t="s">
        <v>118</v>
      </c>
      <c r="C147" s="392" t="s">
        <v>140</v>
      </c>
      <c r="D147" s="392" t="s">
        <v>954</v>
      </c>
      <c r="E147" s="392" t="s">
        <v>145</v>
      </c>
      <c r="F147" s="389">
        <f>F148</f>
        <v>421</v>
      </c>
      <c r="G147" s="389">
        <f>G148</f>
        <v>421</v>
      </c>
    </row>
    <row r="148" spans="1:8" ht="15.75" x14ac:dyDescent="0.25">
      <c r="A148" s="396" t="s">
        <v>704</v>
      </c>
      <c r="B148" s="392" t="s">
        <v>118</v>
      </c>
      <c r="C148" s="392" t="s">
        <v>140</v>
      </c>
      <c r="D148" s="392" t="s">
        <v>954</v>
      </c>
      <c r="E148" s="392" t="s">
        <v>138</v>
      </c>
      <c r="F148" s="389">
        <f>'пр.6.1.ведом.22-23 (2)'!G845</f>
        <v>421</v>
      </c>
      <c r="G148" s="389">
        <f>'пр.6.1.ведом.22-23 (2)'!H845</f>
        <v>421</v>
      </c>
    </row>
    <row r="149" spans="1:8" ht="31.5" x14ac:dyDescent="0.25">
      <c r="A149" s="394" t="s">
        <v>869</v>
      </c>
      <c r="B149" s="395" t="s">
        <v>118</v>
      </c>
      <c r="C149" s="395" t="s">
        <v>140</v>
      </c>
      <c r="D149" s="395" t="s">
        <v>864</v>
      </c>
      <c r="E149" s="395"/>
      <c r="F149" s="388">
        <f>F150+F156</f>
        <v>5202.1000000000004</v>
      </c>
      <c r="G149" s="388">
        <f>G150+G156</f>
        <v>5202.1000000000004</v>
      </c>
    </row>
    <row r="150" spans="1:8" ht="47.25" x14ac:dyDescent="0.25">
      <c r="A150" s="396" t="s">
        <v>388</v>
      </c>
      <c r="B150" s="392" t="s">
        <v>118</v>
      </c>
      <c r="C150" s="392" t="s">
        <v>140</v>
      </c>
      <c r="D150" s="392" t="s">
        <v>1010</v>
      </c>
      <c r="E150" s="392"/>
      <c r="F150" s="389">
        <f>F151</f>
        <v>5202.1000000000004</v>
      </c>
      <c r="G150" s="389">
        <f>G151</f>
        <v>5202.1000000000004</v>
      </c>
    </row>
    <row r="151" spans="1:8" ht="31.5" x14ac:dyDescent="0.25">
      <c r="A151" s="396" t="s">
        <v>131</v>
      </c>
      <c r="B151" s="392" t="s">
        <v>118</v>
      </c>
      <c r="C151" s="392" t="s">
        <v>140</v>
      </c>
      <c r="D151" s="392" t="s">
        <v>1010</v>
      </c>
      <c r="E151" s="392" t="s">
        <v>132</v>
      </c>
      <c r="F151" s="389">
        <f>F152</f>
        <v>5202.1000000000004</v>
      </c>
      <c r="G151" s="389">
        <f>G152</f>
        <v>5202.1000000000004</v>
      </c>
    </row>
    <row r="152" spans="1:8" ht="47.25" x14ac:dyDescent="0.25">
      <c r="A152" s="396" t="s">
        <v>133</v>
      </c>
      <c r="B152" s="392" t="s">
        <v>118</v>
      </c>
      <c r="C152" s="392" t="s">
        <v>140</v>
      </c>
      <c r="D152" s="392" t="s">
        <v>1010</v>
      </c>
      <c r="E152" s="392" t="s">
        <v>134</v>
      </c>
      <c r="F152" s="389">
        <f>'пр.6.1.ведом.22-23 (2)'!G512</f>
        <v>5202.1000000000004</v>
      </c>
      <c r="G152" s="389">
        <f>'пр.6.1.ведом.22-23 (2)'!H512</f>
        <v>5202.1000000000004</v>
      </c>
    </row>
    <row r="153" spans="1:8" ht="47.25" hidden="1" x14ac:dyDescent="0.25">
      <c r="A153" s="396" t="s">
        <v>930</v>
      </c>
      <c r="B153" s="392" t="s">
        <v>118</v>
      </c>
      <c r="C153" s="392" t="s">
        <v>140</v>
      </c>
      <c r="D153" s="392" t="s">
        <v>1011</v>
      </c>
      <c r="E153" s="392"/>
      <c r="F153" s="389">
        <f>'[1]Пр.4 Рд,пр, ЦС,ВР 21'!F155</f>
        <v>0</v>
      </c>
      <c r="G153" s="389">
        <f t="shared" ref="G153:G202" si="7">F153</f>
        <v>0</v>
      </c>
    </row>
    <row r="154" spans="1:8" ht="31.5" hidden="1" x14ac:dyDescent="0.25">
      <c r="A154" s="396" t="s">
        <v>131</v>
      </c>
      <c r="B154" s="392" t="s">
        <v>118</v>
      </c>
      <c r="C154" s="392" t="s">
        <v>140</v>
      </c>
      <c r="D154" s="392" t="s">
        <v>1011</v>
      </c>
      <c r="E154" s="392" t="s">
        <v>132</v>
      </c>
      <c r="F154" s="389">
        <f>'[1]Пр.4 Рд,пр, ЦС,ВР 21'!F156</f>
        <v>0</v>
      </c>
      <c r="G154" s="389">
        <f t="shared" si="7"/>
        <v>0</v>
      </c>
    </row>
    <row r="155" spans="1:8" ht="47.25" hidden="1" x14ac:dyDescent="0.25">
      <c r="A155" s="396" t="s">
        <v>133</v>
      </c>
      <c r="B155" s="392" t="s">
        <v>118</v>
      </c>
      <c r="C155" s="392" t="s">
        <v>140</v>
      </c>
      <c r="D155" s="392" t="s">
        <v>1011</v>
      </c>
      <c r="E155" s="392" t="s">
        <v>134</v>
      </c>
      <c r="F155" s="389">
        <f>'[1]Пр.4 Рд,пр, ЦС,ВР 21'!F157</f>
        <v>0</v>
      </c>
      <c r="G155" s="389">
        <f t="shared" si="7"/>
        <v>0</v>
      </c>
    </row>
    <row r="156" spans="1:8" ht="15.75" hidden="1" x14ac:dyDescent="0.25">
      <c r="A156" s="396" t="s">
        <v>1135</v>
      </c>
      <c r="B156" s="392" t="s">
        <v>118</v>
      </c>
      <c r="C156" s="392" t="s">
        <v>140</v>
      </c>
      <c r="D156" s="392" t="s">
        <v>1136</v>
      </c>
      <c r="E156" s="392"/>
      <c r="F156" s="397">
        <f>F157</f>
        <v>0</v>
      </c>
      <c r="G156" s="397">
        <f>G157</f>
        <v>0</v>
      </c>
    </row>
    <row r="157" spans="1:8" ht="15.75" hidden="1" x14ac:dyDescent="0.25">
      <c r="A157" s="396" t="s">
        <v>135</v>
      </c>
      <c r="B157" s="392" t="s">
        <v>118</v>
      </c>
      <c r="C157" s="392" t="s">
        <v>140</v>
      </c>
      <c r="D157" s="392" t="s">
        <v>1136</v>
      </c>
      <c r="E157" s="392" t="s">
        <v>145</v>
      </c>
      <c r="F157" s="397">
        <f>F158</f>
        <v>0</v>
      </c>
      <c r="G157" s="397">
        <f>G158</f>
        <v>0</v>
      </c>
    </row>
    <row r="158" spans="1:8" ht="15.75" hidden="1" x14ac:dyDescent="0.25">
      <c r="A158" s="396" t="s">
        <v>1135</v>
      </c>
      <c r="B158" s="392" t="s">
        <v>118</v>
      </c>
      <c r="C158" s="392" t="s">
        <v>140</v>
      </c>
      <c r="D158" s="392" t="s">
        <v>1136</v>
      </c>
      <c r="E158" s="392" t="s">
        <v>1137</v>
      </c>
      <c r="F158" s="397">
        <f>'пр.6.1.ведом.22-23 (2)'!G30</f>
        <v>0</v>
      </c>
      <c r="G158" s="397">
        <f>'пр.6.1.ведом.22-23 (2)'!H30</f>
        <v>0</v>
      </c>
    </row>
    <row r="159" spans="1:8" ht="31.5" x14ac:dyDescent="0.25">
      <c r="A159" s="394" t="s">
        <v>921</v>
      </c>
      <c r="B159" s="395" t="s">
        <v>118</v>
      </c>
      <c r="C159" s="395" t="s">
        <v>140</v>
      </c>
      <c r="D159" s="395" t="s">
        <v>866</v>
      </c>
      <c r="E159" s="395"/>
      <c r="F159" s="388">
        <f>F160+F165</f>
        <v>5829</v>
      </c>
      <c r="G159" s="388">
        <f>G160+G165</f>
        <v>5829</v>
      </c>
    </row>
    <row r="160" spans="1:8" ht="31.5" x14ac:dyDescent="0.25">
      <c r="A160" s="396" t="s">
        <v>927</v>
      </c>
      <c r="B160" s="392" t="s">
        <v>118</v>
      </c>
      <c r="C160" s="392" t="s">
        <v>140</v>
      </c>
      <c r="D160" s="392" t="s">
        <v>867</v>
      </c>
      <c r="E160" s="392"/>
      <c r="F160" s="389">
        <f>F161+F163</f>
        <v>5701</v>
      </c>
      <c r="G160" s="389">
        <f>G161+G163</f>
        <v>5701</v>
      </c>
      <c r="H160" s="216">
        <f>F160+F165</f>
        <v>5829</v>
      </c>
    </row>
    <row r="161" spans="1:7" ht="94.5" x14ac:dyDescent="0.25">
      <c r="A161" s="396" t="s">
        <v>127</v>
      </c>
      <c r="B161" s="392" t="s">
        <v>118</v>
      </c>
      <c r="C161" s="392" t="s">
        <v>140</v>
      </c>
      <c r="D161" s="392" t="s">
        <v>867</v>
      </c>
      <c r="E161" s="392" t="s">
        <v>128</v>
      </c>
      <c r="F161" s="389">
        <f>F162</f>
        <v>4501</v>
      </c>
      <c r="G161" s="389">
        <f>G162</f>
        <v>4501</v>
      </c>
    </row>
    <row r="162" spans="1:7" ht="31.5" x14ac:dyDescent="0.25">
      <c r="A162" s="396" t="s">
        <v>208</v>
      </c>
      <c r="B162" s="392" t="s">
        <v>118</v>
      </c>
      <c r="C162" s="392" t="s">
        <v>140</v>
      </c>
      <c r="D162" s="392" t="s">
        <v>867</v>
      </c>
      <c r="E162" s="392" t="s">
        <v>209</v>
      </c>
      <c r="F162" s="389">
        <f>'пр.6.1.ведом.22-23 (2)'!G135</f>
        <v>4501</v>
      </c>
      <c r="G162" s="389">
        <f>'пр.6.1.ведом.22-23 (2)'!H135</f>
        <v>4501</v>
      </c>
    </row>
    <row r="163" spans="1:7" ht="47.25" x14ac:dyDescent="0.25">
      <c r="A163" s="396" t="s">
        <v>198</v>
      </c>
      <c r="B163" s="392" t="s">
        <v>118</v>
      </c>
      <c r="C163" s="392" t="s">
        <v>140</v>
      </c>
      <c r="D163" s="392" t="s">
        <v>867</v>
      </c>
      <c r="E163" s="392" t="s">
        <v>132</v>
      </c>
      <c r="F163" s="389">
        <f>F164</f>
        <v>1200</v>
      </c>
      <c r="G163" s="389">
        <f>G164</f>
        <v>1200</v>
      </c>
    </row>
    <row r="164" spans="1:7" ht="47.25" x14ac:dyDescent="0.25">
      <c r="A164" s="396" t="s">
        <v>133</v>
      </c>
      <c r="B164" s="392" t="s">
        <v>118</v>
      </c>
      <c r="C164" s="392" t="s">
        <v>140</v>
      </c>
      <c r="D164" s="392" t="s">
        <v>867</v>
      </c>
      <c r="E164" s="392" t="s">
        <v>134</v>
      </c>
      <c r="F164" s="389">
        <f>'пр.6.1.ведом.22-23 (2)'!G137</f>
        <v>1200</v>
      </c>
      <c r="G164" s="389">
        <f>'пр.6.1.ведом.22-23 (2)'!H137</f>
        <v>1200</v>
      </c>
    </row>
    <row r="165" spans="1:7" ht="47.25" x14ac:dyDescent="0.25">
      <c r="A165" s="396" t="s">
        <v>838</v>
      </c>
      <c r="B165" s="392" t="s">
        <v>118</v>
      </c>
      <c r="C165" s="392" t="s">
        <v>140</v>
      </c>
      <c r="D165" s="392" t="s">
        <v>868</v>
      </c>
      <c r="E165" s="392"/>
      <c r="F165" s="389">
        <f>F166</f>
        <v>128</v>
      </c>
      <c r="G165" s="389">
        <f>G166</f>
        <v>128</v>
      </c>
    </row>
    <row r="166" spans="1:7" ht="94.5" x14ac:dyDescent="0.25">
      <c r="A166" s="396" t="s">
        <v>127</v>
      </c>
      <c r="B166" s="392" t="s">
        <v>118</v>
      </c>
      <c r="C166" s="392" t="s">
        <v>140</v>
      </c>
      <c r="D166" s="392" t="s">
        <v>868</v>
      </c>
      <c r="E166" s="392" t="s">
        <v>128</v>
      </c>
      <c r="F166" s="389">
        <f>F167</f>
        <v>128</v>
      </c>
      <c r="G166" s="389">
        <f>G167</f>
        <v>128</v>
      </c>
    </row>
    <row r="167" spans="1:7" ht="31.5" x14ac:dyDescent="0.25">
      <c r="A167" s="396" t="s">
        <v>208</v>
      </c>
      <c r="B167" s="392" t="s">
        <v>118</v>
      </c>
      <c r="C167" s="392" t="s">
        <v>140</v>
      </c>
      <c r="D167" s="392" t="s">
        <v>868</v>
      </c>
      <c r="E167" s="392" t="s">
        <v>209</v>
      </c>
      <c r="F167" s="389">
        <f>'пр.6.1.ведом.22-23 (2)'!G140</f>
        <v>128</v>
      </c>
      <c r="G167" s="389">
        <f>'пр.6.1.ведом.22-23 (2)'!H140</f>
        <v>128</v>
      </c>
    </row>
    <row r="168" spans="1:7" ht="47.25" x14ac:dyDescent="0.25">
      <c r="A168" s="394" t="s">
        <v>1371</v>
      </c>
      <c r="B168" s="7" t="s">
        <v>118</v>
      </c>
      <c r="C168" s="7" t="s">
        <v>140</v>
      </c>
      <c r="D168" s="7" t="s">
        <v>344</v>
      </c>
      <c r="E168" s="7"/>
      <c r="F168" s="388">
        <f t="shared" ref="F168:G172" si="8">F169</f>
        <v>200</v>
      </c>
      <c r="G168" s="388">
        <f t="shared" si="8"/>
        <v>500</v>
      </c>
    </row>
    <row r="169" spans="1:7" ht="94.5" x14ac:dyDescent="0.25">
      <c r="A169" s="400" t="s">
        <v>1378</v>
      </c>
      <c r="B169" s="7" t="s">
        <v>118</v>
      </c>
      <c r="C169" s="7" t="s">
        <v>140</v>
      </c>
      <c r="D169" s="7" t="s">
        <v>359</v>
      </c>
      <c r="E169" s="7"/>
      <c r="F169" s="388">
        <f t="shared" si="8"/>
        <v>200</v>
      </c>
      <c r="G169" s="388">
        <f t="shared" si="8"/>
        <v>500</v>
      </c>
    </row>
    <row r="170" spans="1:7" ht="63" x14ac:dyDescent="0.25">
      <c r="A170" s="232" t="s">
        <v>1045</v>
      </c>
      <c r="B170" s="7" t="s">
        <v>118</v>
      </c>
      <c r="C170" s="7" t="s">
        <v>140</v>
      </c>
      <c r="D170" s="7" t="s">
        <v>908</v>
      </c>
      <c r="E170" s="7"/>
      <c r="F170" s="388">
        <f t="shared" si="8"/>
        <v>200</v>
      </c>
      <c r="G170" s="388">
        <f t="shared" si="8"/>
        <v>500</v>
      </c>
    </row>
    <row r="171" spans="1:7" ht="31.5" x14ac:dyDescent="0.25">
      <c r="A171" s="98" t="s">
        <v>1096</v>
      </c>
      <c r="B171" s="399" t="s">
        <v>118</v>
      </c>
      <c r="C171" s="399" t="s">
        <v>140</v>
      </c>
      <c r="D171" s="399" t="s">
        <v>1196</v>
      </c>
      <c r="E171" s="399"/>
      <c r="F171" s="389">
        <f t="shared" si="8"/>
        <v>200</v>
      </c>
      <c r="G171" s="389">
        <f t="shared" si="8"/>
        <v>500</v>
      </c>
    </row>
    <row r="172" spans="1:7" ht="31.5" x14ac:dyDescent="0.25">
      <c r="A172" s="29" t="s">
        <v>131</v>
      </c>
      <c r="B172" s="399" t="s">
        <v>118</v>
      </c>
      <c r="C172" s="399" t="s">
        <v>140</v>
      </c>
      <c r="D172" s="399" t="s">
        <v>1196</v>
      </c>
      <c r="E172" s="399" t="s">
        <v>132</v>
      </c>
      <c r="F172" s="389">
        <f t="shared" si="8"/>
        <v>200</v>
      </c>
      <c r="G172" s="389">
        <f t="shared" si="8"/>
        <v>500</v>
      </c>
    </row>
    <row r="173" spans="1:7" ht="47.25" x14ac:dyDescent="0.25">
      <c r="A173" s="29" t="s">
        <v>133</v>
      </c>
      <c r="B173" s="399" t="s">
        <v>118</v>
      </c>
      <c r="C173" s="399" t="s">
        <v>140</v>
      </c>
      <c r="D173" s="399" t="s">
        <v>1196</v>
      </c>
      <c r="E173" s="399" t="s">
        <v>134</v>
      </c>
      <c r="F173" s="389">
        <f>'пр.6.1.ведом.22-23 (2)'!G250</f>
        <v>200</v>
      </c>
      <c r="G173" s="389">
        <f>'пр.6.1.ведом.22-23 (2)'!H250</f>
        <v>500</v>
      </c>
    </row>
    <row r="174" spans="1:7" ht="47.25" hidden="1" x14ac:dyDescent="0.25">
      <c r="A174" s="35" t="s">
        <v>885</v>
      </c>
      <c r="B174" s="392" t="s">
        <v>118</v>
      </c>
      <c r="C174" s="392" t="s">
        <v>140</v>
      </c>
      <c r="D174" s="392" t="s">
        <v>1295</v>
      </c>
      <c r="E174" s="395"/>
      <c r="F174" s="389" t="e">
        <f>'[1]Пр.4 Рд,пр, ЦС,ВР 21'!#REF!</f>
        <v>#REF!</v>
      </c>
      <c r="G174" s="389" t="e">
        <f t="shared" si="7"/>
        <v>#REF!</v>
      </c>
    </row>
    <row r="175" spans="1:7" ht="31.5" hidden="1" x14ac:dyDescent="0.25">
      <c r="A175" s="396" t="s">
        <v>131</v>
      </c>
      <c r="B175" s="392" t="s">
        <v>118</v>
      </c>
      <c r="C175" s="392" t="s">
        <v>140</v>
      </c>
      <c r="D175" s="392" t="s">
        <v>1295</v>
      </c>
      <c r="E175" s="392" t="s">
        <v>132</v>
      </c>
      <c r="F175" s="389" t="e">
        <f>'[1]Пр.4 Рд,пр, ЦС,ВР 21'!#REF!</f>
        <v>#REF!</v>
      </c>
      <c r="G175" s="389" t="e">
        <f t="shared" si="7"/>
        <v>#REF!</v>
      </c>
    </row>
    <row r="176" spans="1:7" ht="47.25" hidden="1" x14ac:dyDescent="0.25">
      <c r="A176" s="396" t="s">
        <v>133</v>
      </c>
      <c r="B176" s="392" t="s">
        <v>118</v>
      </c>
      <c r="C176" s="392" t="s">
        <v>140</v>
      </c>
      <c r="D176" s="392" t="s">
        <v>1295</v>
      </c>
      <c r="E176" s="392" t="s">
        <v>134</v>
      </c>
      <c r="F176" s="389" t="e">
        <f>'[1]Пр.4 Рд,пр, ЦС,ВР 21'!#REF!</f>
        <v>#REF!</v>
      </c>
      <c r="G176" s="389" t="e">
        <f t="shared" si="7"/>
        <v>#REF!</v>
      </c>
    </row>
    <row r="177" spans="1:7" ht="63" x14ac:dyDescent="0.25">
      <c r="A177" s="34" t="s">
        <v>1218</v>
      </c>
      <c r="B177" s="395" t="s">
        <v>118</v>
      </c>
      <c r="C177" s="395" t="s">
        <v>140</v>
      </c>
      <c r="D177" s="395" t="s">
        <v>324</v>
      </c>
      <c r="E177" s="395"/>
      <c r="F177" s="393">
        <f>F179</f>
        <v>12</v>
      </c>
      <c r="G177" s="393">
        <f>G179</f>
        <v>40</v>
      </c>
    </row>
    <row r="178" spans="1:7" ht="63" x14ac:dyDescent="0.25">
      <c r="A178" s="34" t="s">
        <v>1024</v>
      </c>
      <c r="B178" s="395" t="s">
        <v>118</v>
      </c>
      <c r="C178" s="395" t="s">
        <v>140</v>
      </c>
      <c r="D178" s="395" t="s">
        <v>933</v>
      </c>
      <c r="E178" s="395"/>
      <c r="F178" s="393">
        <f>F181</f>
        <v>12</v>
      </c>
      <c r="G178" s="393">
        <f>G181</f>
        <v>40</v>
      </c>
    </row>
    <row r="179" spans="1:7" ht="47.25" x14ac:dyDescent="0.25">
      <c r="A179" s="31" t="s">
        <v>1081</v>
      </c>
      <c r="B179" s="392" t="s">
        <v>118</v>
      </c>
      <c r="C179" s="392" t="s">
        <v>140</v>
      </c>
      <c r="D179" s="392" t="s">
        <v>1025</v>
      </c>
      <c r="E179" s="392"/>
      <c r="F179" s="397">
        <f>F180</f>
        <v>12</v>
      </c>
      <c r="G179" s="397">
        <f>G180</f>
        <v>40</v>
      </c>
    </row>
    <row r="180" spans="1:7" ht="31.5" x14ac:dyDescent="0.25">
      <c r="A180" s="396" t="s">
        <v>131</v>
      </c>
      <c r="B180" s="392" t="s">
        <v>118</v>
      </c>
      <c r="C180" s="392" t="s">
        <v>140</v>
      </c>
      <c r="D180" s="392" t="s">
        <v>1025</v>
      </c>
      <c r="E180" s="392" t="s">
        <v>132</v>
      </c>
      <c r="F180" s="397">
        <f>F181</f>
        <v>12</v>
      </c>
      <c r="G180" s="397">
        <f>G181</f>
        <v>40</v>
      </c>
    </row>
    <row r="181" spans="1:7" ht="47.25" x14ac:dyDescent="0.25">
      <c r="A181" s="396" t="s">
        <v>133</v>
      </c>
      <c r="B181" s="392" t="s">
        <v>118</v>
      </c>
      <c r="C181" s="392" t="s">
        <v>140</v>
      </c>
      <c r="D181" s="392" t="s">
        <v>1025</v>
      </c>
      <c r="E181" s="392" t="s">
        <v>134</v>
      </c>
      <c r="F181" s="397">
        <f>'пр.6.1.ведом.22-23 (2)'!G145</f>
        <v>12</v>
      </c>
      <c r="G181" s="397">
        <f>'пр.6.1.ведом.22-23 (2)'!H145</f>
        <v>40</v>
      </c>
    </row>
    <row r="182" spans="1:7" ht="47.25" x14ac:dyDescent="0.25">
      <c r="A182" s="394" t="s">
        <v>1354</v>
      </c>
      <c r="B182" s="395" t="s">
        <v>118</v>
      </c>
      <c r="C182" s="395" t="s">
        <v>140</v>
      </c>
      <c r="D182" s="395" t="s">
        <v>335</v>
      </c>
      <c r="E182" s="395"/>
      <c r="F182" s="59">
        <f>F183</f>
        <v>120</v>
      </c>
      <c r="G182" s="59">
        <f>G183</f>
        <v>120</v>
      </c>
    </row>
    <row r="183" spans="1:7" ht="45" customHeight="1" x14ac:dyDescent="0.25">
      <c r="A183" s="394" t="s">
        <v>1050</v>
      </c>
      <c r="B183" s="395" t="s">
        <v>118</v>
      </c>
      <c r="C183" s="395" t="s">
        <v>140</v>
      </c>
      <c r="D183" s="395" t="s">
        <v>1051</v>
      </c>
      <c r="E183" s="395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392" t="s">
        <v>118</v>
      </c>
      <c r="C184" s="392" t="s">
        <v>140</v>
      </c>
      <c r="D184" s="392" t="s">
        <v>1052</v>
      </c>
      <c r="E184" s="392"/>
      <c r="F184" s="389">
        <f>F185</f>
        <v>100</v>
      </c>
      <c r="G184" s="389">
        <f>G185</f>
        <v>100</v>
      </c>
    </row>
    <row r="185" spans="1:7" ht="31.5" x14ac:dyDescent="0.25">
      <c r="A185" s="396" t="s">
        <v>131</v>
      </c>
      <c r="B185" s="392" t="s">
        <v>118</v>
      </c>
      <c r="C185" s="392" t="s">
        <v>140</v>
      </c>
      <c r="D185" s="392" t="s">
        <v>1052</v>
      </c>
      <c r="E185" s="392" t="s">
        <v>132</v>
      </c>
      <c r="F185" s="389">
        <f>F186</f>
        <v>100</v>
      </c>
      <c r="G185" s="389">
        <f>G186</f>
        <v>100</v>
      </c>
    </row>
    <row r="186" spans="1:7" ht="47.25" x14ac:dyDescent="0.25">
      <c r="A186" s="396" t="s">
        <v>133</v>
      </c>
      <c r="B186" s="392" t="s">
        <v>118</v>
      </c>
      <c r="C186" s="392" t="s">
        <v>140</v>
      </c>
      <c r="D186" s="392" t="s">
        <v>1052</v>
      </c>
      <c r="E186" s="392" t="s">
        <v>134</v>
      </c>
      <c r="F186" s="389">
        <f>'пр.6.1.ведом.22-23 (2)'!G763+'пр.6.1.ведом.22-23 (2)'!G544+'пр.6.1.ведом.22-23 (2)'!G255</f>
        <v>100</v>
      </c>
      <c r="G186" s="389">
        <f>'пр.6.1.ведом.22-23 (2)'!H763+'пр.6.1.ведом.22-23 (2)'!H544+'пр.6.1.ведом.22-23 (2)'!H255</f>
        <v>100</v>
      </c>
    </row>
    <row r="187" spans="1:7" ht="31.5" x14ac:dyDescent="0.25">
      <c r="A187" s="396" t="s">
        <v>338</v>
      </c>
      <c r="B187" s="392" t="s">
        <v>118</v>
      </c>
      <c r="C187" s="392" t="s">
        <v>140</v>
      </c>
      <c r="D187" s="392" t="s">
        <v>1053</v>
      </c>
      <c r="E187" s="392"/>
      <c r="F187" s="389">
        <f>F188</f>
        <v>20</v>
      </c>
      <c r="G187" s="389">
        <f>G188</f>
        <v>20</v>
      </c>
    </row>
    <row r="188" spans="1:7" ht="31.5" x14ac:dyDescent="0.25">
      <c r="A188" s="396" t="s">
        <v>131</v>
      </c>
      <c r="B188" s="392" t="s">
        <v>118</v>
      </c>
      <c r="C188" s="392" t="s">
        <v>140</v>
      </c>
      <c r="D188" s="392" t="s">
        <v>1053</v>
      </c>
      <c r="E188" s="392" t="s">
        <v>132</v>
      </c>
      <c r="F188" s="389">
        <f>F189</f>
        <v>20</v>
      </c>
      <c r="G188" s="389">
        <f>G189</f>
        <v>20</v>
      </c>
    </row>
    <row r="189" spans="1:7" ht="47.25" x14ac:dyDescent="0.25">
      <c r="A189" s="396" t="s">
        <v>133</v>
      </c>
      <c r="B189" s="392" t="s">
        <v>118</v>
      </c>
      <c r="C189" s="392" t="s">
        <v>140</v>
      </c>
      <c r="D189" s="392" t="s">
        <v>1053</v>
      </c>
      <c r="E189" s="392" t="s">
        <v>134</v>
      </c>
      <c r="F189" s="389">
        <f>'пр.6.1.ведом.22-23 (2)'!G264</f>
        <v>20</v>
      </c>
      <c r="G189" s="389">
        <f>'пр.6.1.ведом.22-23 (2)'!H264</f>
        <v>20</v>
      </c>
    </row>
    <row r="190" spans="1:7" ht="63" hidden="1" x14ac:dyDescent="0.25">
      <c r="A190" s="31" t="s">
        <v>771</v>
      </c>
      <c r="B190" s="392" t="s">
        <v>118</v>
      </c>
      <c r="C190" s="392" t="s">
        <v>140</v>
      </c>
      <c r="D190" s="392" t="s">
        <v>1054</v>
      </c>
      <c r="E190" s="392"/>
      <c r="F190" s="389">
        <f>F191</f>
        <v>0</v>
      </c>
      <c r="G190" s="389">
        <f>G191</f>
        <v>0</v>
      </c>
    </row>
    <row r="191" spans="1:7" ht="31.5" hidden="1" x14ac:dyDescent="0.25">
      <c r="A191" s="396" t="s">
        <v>131</v>
      </c>
      <c r="B191" s="392" t="s">
        <v>118</v>
      </c>
      <c r="C191" s="392" t="s">
        <v>140</v>
      </c>
      <c r="D191" s="392" t="s">
        <v>1054</v>
      </c>
      <c r="E191" s="392" t="s">
        <v>132</v>
      </c>
      <c r="F191" s="389">
        <f>F192</f>
        <v>0</v>
      </c>
      <c r="G191" s="389">
        <f>G192</f>
        <v>0</v>
      </c>
    </row>
    <row r="192" spans="1:7" ht="47.25" hidden="1" x14ac:dyDescent="0.25">
      <c r="A192" s="396" t="s">
        <v>133</v>
      </c>
      <c r="B192" s="392" t="s">
        <v>118</v>
      </c>
      <c r="C192" s="392" t="s">
        <v>140</v>
      </c>
      <c r="D192" s="392" t="s">
        <v>1054</v>
      </c>
      <c r="E192" s="392" t="s">
        <v>134</v>
      </c>
      <c r="F192" s="389">
        <f>'пр.6.1.ведом.22-23 (2)'!G258</f>
        <v>0</v>
      </c>
      <c r="G192" s="389">
        <f>'пр.6.1.ведом.22-23 (2)'!H258</f>
        <v>0</v>
      </c>
    </row>
    <row r="193" spans="1:7" ht="31.5" hidden="1" x14ac:dyDescent="0.25">
      <c r="A193" s="396" t="s">
        <v>993</v>
      </c>
      <c r="B193" s="392" t="s">
        <v>118</v>
      </c>
      <c r="C193" s="392" t="s">
        <v>140</v>
      </c>
      <c r="D193" s="392" t="s">
        <v>1055</v>
      </c>
      <c r="E193" s="392"/>
      <c r="F193" s="389">
        <f>F194</f>
        <v>0</v>
      </c>
      <c r="G193" s="389">
        <f>G194</f>
        <v>0</v>
      </c>
    </row>
    <row r="194" spans="1:7" ht="31.5" hidden="1" x14ac:dyDescent="0.25">
      <c r="A194" s="396" t="s">
        <v>131</v>
      </c>
      <c r="B194" s="392" t="s">
        <v>118</v>
      </c>
      <c r="C194" s="392" t="s">
        <v>140</v>
      </c>
      <c r="D194" s="392" t="s">
        <v>1055</v>
      </c>
      <c r="E194" s="392" t="s">
        <v>132</v>
      </c>
      <c r="F194" s="389">
        <f>F195</f>
        <v>0</v>
      </c>
      <c r="G194" s="389">
        <f>G195</f>
        <v>0</v>
      </c>
    </row>
    <row r="195" spans="1:7" ht="47.25" hidden="1" x14ac:dyDescent="0.25">
      <c r="A195" s="396" t="s">
        <v>133</v>
      </c>
      <c r="B195" s="392" t="s">
        <v>118</v>
      </c>
      <c r="C195" s="392" t="s">
        <v>140</v>
      </c>
      <c r="D195" s="392" t="s">
        <v>1055</v>
      </c>
      <c r="E195" s="392" t="s">
        <v>134</v>
      </c>
      <c r="F195" s="389">
        <f>'пр.6.1.ведом.22-23 (2)'!G261</f>
        <v>0</v>
      </c>
      <c r="G195" s="389">
        <f>'пр.6.1.ведом.22-23 (2)'!H261</f>
        <v>0</v>
      </c>
    </row>
    <row r="196" spans="1:7" ht="31.5" hidden="1" x14ac:dyDescent="0.25">
      <c r="A196" s="31" t="s">
        <v>772</v>
      </c>
      <c r="B196" s="392" t="s">
        <v>118</v>
      </c>
      <c r="C196" s="392" t="s">
        <v>140</v>
      </c>
      <c r="D196" s="392" t="s">
        <v>1056</v>
      </c>
      <c r="E196" s="392"/>
      <c r="F196" s="389">
        <f>F197</f>
        <v>0</v>
      </c>
      <c r="G196" s="389">
        <f>G197</f>
        <v>0</v>
      </c>
    </row>
    <row r="197" spans="1:7" ht="31.5" hidden="1" x14ac:dyDescent="0.25">
      <c r="A197" s="396" t="s">
        <v>131</v>
      </c>
      <c r="B197" s="392" t="s">
        <v>118</v>
      </c>
      <c r="C197" s="392" t="s">
        <v>140</v>
      </c>
      <c r="D197" s="392" t="s">
        <v>1056</v>
      </c>
      <c r="E197" s="392" t="s">
        <v>132</v>
      </c>
      <c r="F197" s="389">
        <f>F198</f>
        <v>0</v>
      </c>
      <c r="G197" s="389">
        <f>G198</f>
        <v>0</v>
      </c>
    </row>
    <row r="198" spans="1:7" ht="47.25" hidden="1" x14ac:dyDescent="0.25">
      <c r="A198" s="396" t="s">
        <v>133</v>
      </c>
      <c r="B198" s="392" t="s">
        <v>118</v>
      </c>
      <c r="C198" s="392" t="s">
        <v>140</v>
      </c>
      <c r="D198" s="392" t="s">
        <v>1056</v>
      </c>
      <c r="E198" s="392" t="s">
        <v>134</v>
      </c>
      <c r="F198" s="389">
        <f>'пр.6.1.ведом.22-23 (2)'!G267</f>
        <v>0</v>
      </c>
      <c r="G198" s="389">
        <f>'пр.6.1.ведом.22-23 (2)'!H267</f>
        <v>0</v>
      </c>
    </row>
    <row r="199" spans="1:7" ht="57.2" customHeight="1" x14ac:dyDescent="0.25">
      <c r="A199" s="400" t="s">
        <v>1351</v>
      </c>
      <c r="B199" s="8" t="s">
        <v>118</v>
      </c>
      <c r="C199" s="8" t="s">
        <v>140</v>
      </c>
      <c r="D199" s="395" t="s">
        <v>705</v>
      </c>
      <c r="E199" s="403"/>
      <c r="F199" s="59">
        <f>F200+F204</f>
        <v>48</v>
      </c>
      <c r="G199" s="59">
        <f>G200+G204</f>
        <v>48</v>
      </c>
    </row>
    <row r="200" spans="1:7" ht="47.25" x14ac:dyDescent="0.25">
      <c r="A200" s="195" t="s">
        <v>845</v>
      </c>
      <c r="B200" s="395" t="s">
        <v>118</v>
      </c>
      <c r="C200" s="395" t="s">
        <v>140</v>
      </c>
      <c r="D200" s="395" t="s">
        <v>851</v>
      </c>
      <c r="E200" s="395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392" t="s">
        <v>118</v>
      </c>
      <c r="C201" s="392" t="s">
        <v>140</v>
      </c>
      <c r="D201" s="392" t="s">
        <v>846</v>
      </c>
      <c r="E201" s="392"/>
      <c r="F201" s="389">
        <f>F202</f>
        <v>33</v>
      </c>
      <c r="G201" s="389">
        <f>G202</f>
        <v>33</v>
      </c>
    </row>
    <row r="202" spans="1:7" ht="36.75" customHeight="1" x14ac:dyDescent="0.25">
      <c r="A202" s="396" t="s">
        <v>131</v>
      </c>
      <c r="B202" s="392" t="s">
        <v>118</v>
      </c>
      <c r="C202" s="392" t="s">
        <v>140</v>
      </c>
      <c r="D202" s="392" t="s">
        <v>846</v>
      </c>
      <c r="E202" s="392" t="s">
        <v>132</v>
      </c>
      <c r="F202" s="389">
        <f>F203</f>
        <v>33</v>
      </c>
      <c r="G202" s="389">
        <f t="shared" si="7"/>
        <v>33</v>
      </c>
    </row>
    <row r="203" spans="1:7" ht="47.25" x14ac:dyDescent="0.25">
      <c r="A203" s="396" t="s">
        <v>133</v>
      </c>
      <c r="B203" s="392" t="s">
        <v>118</v>
      </c>
      <c r="C203" s="392" t="s">
        <v>140</v>
      </c>
      <c r="D203" s="392" t="s">
        <v>846</v>
      </c>
      <c r="E203" s="392" t="s">
        <v>134</v>
      </c>
      <c r="F203" s="389">
        <f>'пр.6.1.ведом.22-23 (2)'!G150+'пр.6.1.ведом.22-23 (2)'!G272</f>
        <v>33</v>
      </c>
      <c r="G203" s="389">
        <f>'пр.6.1.ведом.22-23 (2)'!H150+'пр.6.1.ведом.22-23 (2)'!H272</f>
        <v>33</v>
      </c>
    </row>
    <row r="204" spans="1:7" ht="47.25" x14ac:dyDescent="0.25">
      <c r="A204" s="402" t="s">
        <v>1022</v>
      </c>
      <c r="B204" s="395" t="s">
        <v>118</v>
      </c>
      <c r="C204" s="395" t="s">
        <v>140</v>
      </c>
      <c r="D204" s="395" t="s">
        <v>852</v>
      </c>
      <c r="E204" s="403"/>
      <c r="F204" s="59">
        <f t="shared" ref="F204:G206" si="9">F205</f>
        <v>15</v>
      </c>
      <c r="G204" s="59">
        <f t="shared" si="9"/>
        <v>15</v>
      </c>
    </row>
    <row r="205" spans="1:7" ht="31.5" x14ac:dyDescent="0.25">
      <c r="A205" s="98" t="s">
        <v>777</v>
      </c>
      <c r="B205" s="392" t="s">
        <v>118</v>
      </c>
      <c r="C205" s="392" t="s">
        <v>140</v>
      </c>
      <c r="D205" s="392" t="s">
        <v>847</v>
      </c>
      <c r="E205" s="398"/>
      <c r="F205" s="389">
        <f t="shared" si="9"/>
        <v>15</v>
      </c>
      <c r="G205" s="389">
        <f t="shared" si="9"/>
        <v>15</v>
      </c>
    </row>
    <row r="206" spans="1:7" ht="31.5" x14ac:dyDescent="0.25">
      <c r="A206" s="396" t="s">
        <v>131</v>
      </c>
      <c r="B206" s="392" t="s">
        <v>118</v>
      </c>
      <c r="C206" s="392" t="s">
        <v>140</v>
      </c>
      <c r="D206" s="392" t="s">
        <v>847</v>
      </c>
      <c r="E206" s="398" t="s">
        <v>132</v>
      </c>
      <c r="F206" s="389">
        <f t="shared" si="9"/>
        <v>15</v>
      </c>
      <c r="G206" s="389">
        <f t="shared" si="9"/>
        <v>15</v>
      </c>
    </row>
    <row r="207" spans="1:7" ht="47.25" x14ac:dyDescent="0.25">
      <c r="A207" s="396" t="s">
        <v>133</v>
      </c>
      <c r="B207" s="392" t="s">
        <v>118</v>
      </c>
      <c r="C207" s="392" t="s">
        <v>140</v>
      </c>
      <c r="D207" s="392" t="s">
        <v>847</v>
      </c>
      <c r="E207" s="398" t="s">
        <v>134</v>
      </c>
      <c r="F207" s="389">
        <f>'пр.6.1.ведом.22-23 (2)'!G154</f>
        <v>15</v>
      </c>
      <c r="G207" s="389">
        <f>'пр.6.1.ведом.22-23 (2)'!H154</f>
        <v>15</v>
      </c>
    </row>
    <row r="208" spans="1:7" ht="63" hidden="1" x14ac:dyDescent="0.25">
      <c r="A208" s="201" t="s">
        <v>1379</v>
      </c>
      <c r="B208" s="395" t="s">
        <v>118</v>
      </c>
      <c r="C208" s="395" t="s">
        <v>140</v>
      </c>
      <c r="D208" s="395" t="s">
        <v>782</v>
      </c>
      <c r="E208" s="403"/>
      <c r="F208" s="59">
        <f>F210</f>
        <v>0</v>
      </c>
      <c r="G208" s="59">
        <f>G210</f>
        <v>0</v>
      </c>
    </row>
    <row r="209" spans="1:7" ht="31.5" hidden="1" x14ac:dyDescent="0.25">
      <c r="A209" s="394" t="s">
        <v>929</v>
      </c>
      <c r="B209" s="395" t="s">
        <v>118</v>
      </c>
      <c r="C209" s="395" t="s">
        <v>140</v>
      </c>
      <c r="D209" s="395" t="s">
        <v>1019</v>
      </c>
      <c r="E209" s="403"/>
      <c r="F209" s="59">
        <f t="shared" ref="F209:G211" si="10">F210</f>
        <v>0</v>
      </c>
      <c r="G209" s="59">
        <f t="shared" si="10"/>
        <v>0</v>
      </c>
    </row>
    <row r="210" spans="1:7" ht="31.5" hidden="1" x14ac:dyDescent="0.25">
      <c r="A210" s="180" t="s">
        <v>790</v>
      </c>
      <c r="B210" s="392" t="s">
        <v>118</v>
      </c>
      <c r="C210" s="392" t="s">
        <v>140</v>
      </c>
      <c r="D210" s="392" t="s">
        <v>1020</v>
      </c>
      <c r="E210" s="398"/>
      <c r="F210" s="389">
        <f t="shared" si="10"/>
        <v>0</v>
      </c>
      <c r="G210" s="389">
        <f t="shared" si="10"/>
        <v>0</v>
      </c>
    </row>
    <row r="211" spans="1:7" ht="31.5" hidden="1" x14ac:dyDescent="0.25">
      <c r="A211" s="180" t="s">
        <v>131</v>
      </c>
      <c r="B211" s="392" t="s">
        <v>118</v>
      </c>
      <c r="C211" s="392" t="s">
        <v>140</v>
      </c>
      <c r="D211" s="392" t="s">
        <v>1020</v>
      </c>
      <c r="E211" s="398" t="s">
        <v>132</v>
      </c>
      <c r="F211" s="389">
        <f t="shared" si="10"/>
        <v>0</v>
      </c>
      <c r="G211" s="389">
        <f t="shared" si="10"/>
        <v>0</v>
      </c>
    </row>
    <row r="212" spans="1:7" ht="47.25" hidden="1" x14ac:dyDescent="0.25">
      <c r="A212" s="180" t="s">
        <v>133</v>
      </c>
      <c r="B212" s="392" t="s">
        <v>118</v>
      </c>
      <c r="C212" s="392" t="s">
        <v>140</v>
      </c>
      <c r="D212" s="392" t="s">
        <v>1020</v>
      </c>
      <c r="E212" s="398" t="s">
        <v>134</v>
      </c>
      <c r="F212" s="389">
        <f>'пр.6.1.ведом.22-23 (2)'!G520</f>
        <v>0</v>
      </c>
      <c r="G212" s="389">
        <f>'пр.6.1.ведом.22-23 (2)'!H520</f>
        <v>0</v>
      </c>
    </row>
    <row r="213" spans="1:7" ht="78.75" x14ac:dyDescent="0.25">
      <c r="A213" s="400" t="s">
        <v>1341</v>
      </c>
      <c r="B213" s="8" t="s">
        <v>118</v>
      </c>
      <c r="C213" s="8" t="s">
        <v>140</v>
      </c>
      <c r="D213" s="435" t="s">
        <v>816</v>
      </c>
      <c r="E213" s="8"/>
      <c r="F213" s="59">
        <f t="shared" ref="F213:F216" si="11">F214</f>
        <v>45</v>
      </c>
      <c r="G213" s="59">
        <f>G214</f>
        <v>50</v>
      </c>
    </row>
    <row r="214" spans="1:7" ht="47.25" x14ac:dyDescent="0.25">
      <c r="A214" s="197" t="s">
        <v>853</v>
      </c>
      <c r="B214" s="8" t="s">
        <v>118</v>
      </c>
      <c r="C214" s="8" t="s">
        <v>140</v>
      </c>
      <c r="D214" s="187" t="s">
        <v>1076</v>
      </c>
      <c r="E214" s="8"/>
      <c r="F214" s="59">
        <f t="shared" si="11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854</v>
      </c>
      <c r="E215" s="9"/>
      <c r="F215" s="389">
        <f t="shared" si="11"/>
        <v>45</v>
      </c>
      <c r="G215" s="389">
        <f>G216</f>
        <v>50</v>
      </c>
    </row>
    <row r="216" spans="1:7" ht="31.5" x14ac:dyDescent="0.25">
      <c r="A216" s="396" t="s">
        <v>131</v>
      </c>
      <c r="B216" s="9" t="s">
        <v>118</v>
      </c>
      <c r="C216" s="9" t="s">
        <v>140</v>
      </c>
      <c r="D216" s="5" t="s">
        <v>854</v>
      </c>
      <c r="E216" s="9" t="s">
        <v>132</v>
      </c>
      <c r="F216" s="389">
        <f t="shared" si="11"/>
        <v>45</v>
      </c>
      <c r="G216" s="389">
        <f>G217</f>
        <v>50</v>
      </c>
    </row>
    <row r="217" spans="1:7" ht="47.25" x14ac:dyDescent="0.25">
      <c r="A217" s="396" t="s">
        <v>133</v>
      </c>
      <c r="B217" s="9" t="s">
        <v>118</v>
      </c>
      <c r="C217" s="9" t="s">
        <v>140</v>
      </c>
      <c r="D217" s="5" t="s">
        <v>854</v>
      </c>
      <c r="E217" s="9" t="s">
        <v>134</v>
      </c>
      <c r="F217" s="389">
        <f>'пр.6.1.ведом.22-23 (2)'!G159</f>
        <v>45</v>
      </c>
      <c r="G217" s="389">
        <f>'пр.6.1.ведом.22-23 (2)'!H159</f>
        <v>50</v>
      </c>
    </row>
    <row r="218" spans="1:7" ht="62.45" customHeight="1" x14ac:dyDescent="0.25">
      <c r="A218" s="400" t="s">
        <v>1342</v>
      </c>
      <c r="B218" s="8" t="s">
        <v>118</v>
      </c>
      <c r="C218" s="8" t="s">
        <v>140</v>
      </c>
      <c r="D218" s="187" t="s">
        <v>817</v>
      </c>
      <c r="E218" s="8"/>
      <c r="F218" s="388">
        <f>F219</f>
        <v>80</v>
      </c>
      <c r="G218" s="388">
        <f>G219</f>
        <v>90</v>
      </c>
    </row>
    <row r="219" spans="1:7" ht="31.5" x14ac:dyDescent="0.25">
      <c r="A219" s="58" t="s">
        <v>855</v>
      </c>
      <c r="B219" s="8" t="s">
        <v>118</v>
      </c>
      <c r="C219" s="8" t="s">
        <v>140</v>
      </c>
      <c r="D219" s="187" t="s">
        <v>863</v>
      </c>
      <c r="E219" s="8"/>
      <c r="F219" s="388">
        <f t="shared" ref="F219:G219" si="12">F220</f>
        <v>80</v>
      </c>
      <c r="G219" s="388">
        <f t="shared" si="12"/>
        <v>90</v>
      </c>
    </row>
    <row r="220" spans="1:7" ht="31.5" x14ac:dyDescent="0.25">
      <c r="A220" s="45" t="s">
        <v>821</v>
      </c>
      <c r="B220" s="9" t="s">
        <v>118</v>
      </c>
      <c r="C220" s="9" t="s">
        <v>140</v>
      </c>
      <c r="D220" s="5" t="s">
        <v>856</v>
      </c>
      <c r="E220" s="9"/>
      <c r="F220" s="389">
        <f>F221</f>
        <v>80</v>
      </c>
      <c r="G220" s="389">
        <f>G221</f>
        <v>90</v>
      </c>
    </row>
    <row r="221" spans="1:7" ht="31.5" x14ac:dyDescent="0.25">
      <c r="A221" s="396" t="s">
        <v>131</v>
      </c>
      <c r="B221" s="9" t="s">
        <v>118</v>
      </c>
      <c r="C221" s="9" t="s">
        <v>140</v>
      </c>
      <c r="D221" s="5" t="s">
        <v>856</v>
      </c>
      <c r="E221" s="9" t="s">
        <v>132</v>
      </c>
      <c r="F221" s="389">
        <f>F222</f>
        <v>80</v>
      </c>
      <c r="G221" s="389">
        <f>G222</f>
        <v>90</v>
      </c>
    </row>
    <row r="222" spans="1:7" ht="47.25" x14ac:dyDescent="0.25">
      <c r="A222" s="396" t="s">
        <v>133</v>
      </c>
      <c r="B222" s="9" t="s">
        <v>118</v>
      </c>
      <c r="C222" s="9" t="s">
        <v>140</v>
      </c>
      <c r="D222" s="5" t="s">
        <v>856</v>
      </c>
      <c r="E222" s="9" t="s">
        <v>134</v>
      </c>
      <c r="F222" s="389">
        <f>'пр.6.1.ведом.22-23 (2)'!G164</f>
        <v>80</v>
      </c>
      <c r="G222" s="389">
        <f>'пр.6.1.ведом.22-23 (2)'!H164</f>
        <v>90</v>
      </c>
    </row>
    <row r="223" spans="1:7" ht="15.75" hidden="1" x14ac:dyDescent="0.25">
      <c r="A223" s="394" t="s">
        <v>212</v>
      </c>
      <c r="B223" s="395" t="s">
        <v>213</v>
      </c>
      <c r="C223" s="395"/>
      <c r="D223" s="395"/>
      <c r="E223" s="395"/>
      <c r="F223" s="388">
        <f t="shared" ref="F223:G226" si="13">F224</f>
        <v>0</v>
      </c>
      <c r="G223" s="388">
        <f t="shared" si="13"/>
        <v>0</v>
      </c>
    </row>
    <row r="224" spans="1:7" ht="31.5" hidden="1" x14ac:dyDescent="0.25">
      <c r="A224" s="394" t="s">
        <v>218</v>
      </c>
      <c r="B224" s="395" t="s">
        <v>213</v>
      </c>
      <c r="C224" s="395" t="s">
        <v>219</v>
      </c>
      <c r="D224" s="395"/>
      <c r="E224" s="395"/>
      <c r="F224" s="388">
        <f t="shared" si="13"/>
        <v>0</v>
      </c>
      <c r="G224" s="388">
        <f t="shared" si="13"/>
        <v>0</v>
      </c>
    </row>
    <row r="225" spans="1:7" ht="15.75" hidden="1" x14ac:dyDescent="0.25">
      <c r="A225" s="394" t="s">
        <v>141</v>
      </c>
      <c r="B225" s="395" t="s">
        <v>213</v>
      </c>
      <c r="C225" s="395" t="s">
        <v>219</v>
      </c>
      <c r="D225" s="395" t="s">
        <v>865</v>
      </c>
      <c r="E225" s="395"/>
      <c r="F225" s="388">
        <f t="shared" si="13"/>
        <v>0</v>
      </c>
      <c r="G225" s="388">
        <f t="shared" si="13"/>
        <v>0</v>
      </c>
    </row>
    <row r="226" spans="1:7" ht="31.5" hidden="1" x14ac:dyDescent="0.25">
      <c r="A226" s="394" t="s">
        <v>869</v>
      </c>
      <c r="B226" s="395" t="s">
        <v>213</v>
      </c>
      <c r="C226" s="395" t="s">
        <v>219</v>
      </c>
      <c r="D226" s="395" t="s">
        <v>864</v>
      </c>
      <c r="E226" s="395"/>
      <c r="F226" s="388">
        <f t="shared" si="13"/>
        <v>0</v>
      </c>
      <c r="G226" s="388">
        <f t="shared" si="13"/>
        <v>0</v>
      </c>
    </row>
    <row r="227" spans="1:7" ht="16.350000000000001" hidden="1" customHeight="1" x14ac:dyDescent="0.25">
      <c r="A227" s="396" t="s">
        <v>220</v>
      </c>
      <c r="B227" s="392" t="s">
        <v>213</v>
      </c>
      <c r="C227" s="392" t="s">
        <v>219</v>
      </c>
      <c r="D227" s="392" t="s">
        <v>870</v>
      </c>
      <c r="E227" s="392"/>
      <c r="F227" s="389">
        <f>'[1]Пр.4 Рд,пр, ЦС,ВР 21'!F218</f>
        <v>0</v>
      </c>
      <c r="G227" s="389">
        <f t="shared" ref="G227:G282" si="14">F227</f>
        <v>0</v>
      </c>
    </row>
    <row r="228" spans="1:7" ht="47.25" hidden="1" x14ac:dyDescent="0.25">
      <c r="A228" s="396" t="s">
        <v>198</v>
      </c>
      <c r="B228" s="392" t="s">
        <v>213</v>
      </c>
      <c r="C228" s="392" t="s">
        <v>219</v>
      </c>
      <c r="D228" s="392" t="s">
        <v>870</v>
      </c>
      <c r="E228" s="392" t="s">
        <v>132</v>
      </c>
      <c r="F228" s="389">
        <f>'[1]Пр.4 Рд,пр, ЦС,ВР 21'!F219</f>
        <v>0</v>
      </c>
      <c r="G228" s="389">
        <f t="shared" si="14"/>
        <v>0</v>
      </c>
    </row>
    <row r="229" spans="1:7" ht="47.25" hidden="1" x14ac:dyDescent="0.25">
      <c r="A229" s="396" t="s">
        <v>133</v>
      </c>
      <c r="B229" s="392" t="s">
        <v>213</v>
      </c>
      <c r="C229" s="392" t="s">
        <v>219</v>
      </c>
      <c r="D229" s="392" t="s">
        <v>870</v>
      </c>
      <c r="E229" s="392" t="s">
        <v>134</v>
      </c>
      <c r="F229" s="389">
        <f>'[1]Пр.4 Рд,пр, ЦС,ВР 21'!F220</f>
        <v>0</v>
      </c>
      <c r="G229" s="389">
        <f t="shared" si="14"/>
        <v>0</v>
      </c>
    </row>
    <row r="230" spans="1:7" ht="31.5" x14ac:dyDescent="0.25">
      <c r="A230" s="394" t="s">
        <v>222</v>
      </c>
      <c r="B230" s="395" t="s">
        <v>215</v>
      </c>
      <c r="C230" s="395"/>
      <c r="D230" s="395"/>
      <c r="E230" s="395"/>
      <c r="F230" s="388">
        <f t="shared" ref="F230:G231" si="15">F231</f>
        <v>8197.1</v>
      </c>
      <c r="G230" s="388">
        <f t="shared" si="15"/>
        <v>8197.1</v>
      </c>
    </row>
    <row r="231" spans="1:7" ht="63" x14ac:dyDescent="0.25">
      <c r="A231" s="394" t="s">
        <v>1344</v>
      </c>
      <c r="B231" s="395" t="s">
        <v>215</v>
      </c>
      <c r="C231" s="395" t="s">
        <v>244</v>
      </c>
      <c r="D231" s="392"/>
      <c r="E231" s="392"/>
      <c r="F231" s="388">
        <f t="shared" si="15"/>
        <v>8197.1</v>
      </c>
      <c r="G231" s="388">
        <f t="shared" si="15"/>
        <v>8197.1</v>
      </c>
    </row>
    <row r="232" spans="1:7" ht="15.75" x14ac:dyDescent="0.25">
      <c r="A232" s="394" t="s">
        <v>141</v>
      </c>
      <c r="B232" s="395" t="s">
        <v>215</v>
      </c>
      <c r="C232" s="395" t="s">
        <v>244</v>
      </c>
      <c r="D232" s="395" t="s">
        <v>865</v>
      </c>
      <c r="E232" s="395"/>
      <c r="F232" s="388">
        <f>F233+F240</f>
        <v>8197.1</v>
      </c>
      <c r="G232" s="388">
        <f>G233+G240</f>
        <v>8197.1</v>
      </c>
    </row>
    <row r="233" spans="1:7" ht="31.5" x14ac:dyDescent="0.25">
      <c r="A233" s="394" t="s">
        <v>869</v>
      </c>
      <c r="B233" s="395" t="s">
        <v>215</v>
      </c>
      <c r="C233" s="395" t="s">
        <v>244</v>
      </c>
      <c r="D233" s="395" t="s">
        <v>864</v>
      </c>
      <c r="E233" s="395"/>
      <c r="F233" s="388">
        <f>F234+F237</f>
        <v>2089</v>
      </c>
      <c r="G233" s="388">
        <f>G234+G237</f>
        <v>2089</v>
      </c>
    </row>
    <row r="234" spans="1:7" ht="47.25" x14ac:dyDescent="0.25">
      <c r="A234" s="396" t="s">
        <v>224</v>
      </c>
      <c r="B234" s="392" t="s">
        <v>215</v>
      </c>
      <c r="C234" s="392" t="s">
        <v>244</v>
      </c>
      <c r="D234" s="392" t="s">
        <v>874</v>
      </c>
      <c r="E234" s="392"/>
      <c r="F234" s="389">
        <f>F235</f>
        <v>1785</v>
      </c>
      <c r="G234" s="389">
        <f>G235</f>
        <v>1785</v>
      </c>
    </row>
    <row r="235" spans="1:7" ht="35.450000000000003" customHeight="1" x14ac:dyDescent="0.25">
      <c r="A235" s="396" t="s">
        <v>198</v>
      </c>
      <c r="B235" s="392" t="s">
        <v>215</v>
      </c>
      <c r="C235" s="392" t="s">
        <v>244</v>
      </c>
      <c r="D235" s="392" t="s">
        <v>874</v>
      </c>
      <c r="E235" s="392" t="s">
        <v>132</v>
      </c>
      <c r="F235" s="389">
        <f>F236</f>
        <v>1785</v>
      </c>
      <c r="G235" s="389">
        <f>G236</f>
        <v>1785</v>
      </c>
    </row>
    <row r="236" spans="1:7" ht="47.25" x14ac:dyDescent="0.25">
      <c r="A236" s="396" t="s">
        <v>133</v>
      </c>
      <c r="B236" s="392" t="s">
        <v>215</v>
      </c>
      <c r="C236" s="392" t="s">
        <v>244</v>
      </c>
      <c r="D236" s="392" t="s">
        <v>874</v>
      </c>
      <c r="E236" s="392" t="s">
        <v>134</v>
      </c>
      <c r="F236" s="389">
        <f>'пр.6.1.ведом.22-23 (2)'!G178</f>
        <v>1785</v>
      </c>
      <c r="G236" s="389">
        <f>'пр.6.1.ведом.22-23 (2)'!H178</f>
        <v>1785</v>
      </c>
    </row>
    <row r="237" spans="1:7" ht="15.75" x14ac:dyDescent="0.25">
      <c r="A237" s="396" t="s">
        <v>230</v>
      </c>
      <c r="B237" s="392" t="s">
        <v>215</v>
      </c>
      <c r="C237" s="392" t="s">
        <v>244</v>
      </c>
      <c r="D237" s="392" t="s">
        <v>875</v>
      </c>
      <c r="E237" s="392"/>
      <c r="F237" s="389">
        <f>F238</f>
        <v>304</v>
      </c>
      <c r="G237" s="389">
        <f>G238</f>
        <v>304</v>
      </c>
    </row>
    <row r="238" spans="1:7" ht="47.25" x14ac:dyDescent="0.25">
      <c r="A238" s="396" t="s">
        <v>198</v>
      </c>
      <c r="B238" s="392" t="s">
        <v>215</v>
      </c>
      <c r="C238" s="392" t="s">
        <v>244</v>
      </c>
      <c r="D238" s="392" t="s">
        <v>875</v>
      </c>
      <c r="E238" s="392" t="s">
        <v>132</v>
      </c>
      <c r="F238" s="389">
        <f>F239</f>
        <v>304</v>
      </c>
      <c r="G238" s="389">
        <f>G239</f>
        <v>304</v>
      </c>
    </row>
    <row r="239" spans="1:7" ht="47.25" x14ac:dyDescent="0.25">
      <c r="A239" s="396" t="s">
        <v>133</v>
      </c>
      <c r="B239" s="392" t="s">
        <v>215</v>
      </c>
      <c r="C239" s="392" t="s">
        <v>244</v>
      </c>
      <c r="D239" s="392" t="s">
        <v>875</v>
      </c>
      <c r="E239" s="392" t="s">
        <v>134</v>
      </c>
      <c r="F239" s="389">
        <f>'пр.6.1.ведом.22-23 (2)'!G181+'пр.6.1.ведом.22-23 (2)'!G852</f>
        <v>304</v>
      </c>
      <c r="G239" s="389">
        <f>'пр.6.1.ведом.22-23 (2)'!H181+'пр.6.1.ведом.22-23 (2)'!H852</f>
        <v>304</v>
      </c>
    </row>
    <row r="240" spans="1:7" ht="47.25" x14ac:dyDescent="0.25">
      <c r="A240" s="394" t="s">
        <v>922</v>
      </c>
      <c r="B240" s="395" t="s">
        <v>215</v>
      </c>
      <c r="C240" s="395" t="s">
        <v>244</v>
      </c>
      <c r="D240" s="395" t="s">
        <v>871</v>
      </c>
      <c r="E240" s="395"/>
      <c r="F240" s="388">
        <f>F241+F246</f>
        <v>6108.1</v>
      </c>
      <c r="G240" s="388">
        <f>G241+G246</f>
        <v>6108.1</v>
      </c>
    </row>
    <row r="241" spans="1:9" ht="31.5" x14ac:dyDescent="0.25">
      <c r="A241" s="396" t="s">
        <v>926</v>
      </c>
      <c r="B241" s="392" t="s">
        <v>215</v>
      </c>
      <c r="C241" s="392" t="s">
        <v>244</v>
      </c>
      <c r="D241" s="392" t="s">
        <v>872</v>
      </c>
      <c r="E241" s="392"/>
      <c r="F241" s="389">
        <f>F242+F244</f>
        <v>5856.1</v>
      </c>
      <c r="G241" s="389">
        <f>G242+G244</f>
        <v>5856.1</v>
      </c>
    </row>
    <row r="242" spans="1:9" ht="94.5" x14ac:dyDescent="0.25">
      <c r="A242" s="396" t="s">
        <v>127</v>
      </c>
      <c r="B242" s="392" t="s">
        <v>215</v>
      </c>
      <c r="C242" s="392" t="s">
        <v>244</v>
      </c>
      <c r="D242" s="392" t="s">
        <v>872</v>
      </c>
      <c r="E242" s="392" t="s">
        <v>128</v>
      </c>
      <c r="F242" s="389">
        <f>F243</f>
        <v>5693.1</v>
      </c>
      <c r="G242" s="389">
        <f>G243</f>
        <v>5693.1</v>
      </c>
    </row>
    <row r="243" spans="1:9" ht="31.5" x14ac:dyDescent="0.25">
      <c r="A243" s="396" t="s">
        <v>208</v>
      </c>
      <c r="B243" s="392" t="s">
        <v>215</v>
      </c>
      <c r="C243" s="392" t="s">
        <v>244</v>
      </c>
      <c r="D243" s="392" t="s">
        <v>872</v>
      </c>
      <c r="E243" s="392" t="s">
        <v>209</v>
      </c>
      <c r="F243" s="389">
        <f>'пр.6.1.ведом.22-23 (2)'!G185</f>
        <v>5693.1</v>
      </c>
      <c r="G243" s="389">
        <f>'пр.6.1.ведом.22-23 (2)'!H185</f>
        <v>5693.1</v>
      </c>
    </row>
    <row r="244" spans="1:9" ht="47.25" x14ac:dyDescent="0.25">
      <c r="A244" s="396" t="s">
        <v>198</v>
      </c>
      <c r="B244" s="392" t="s">
        <v>215</v>
      </c>
      <c r="C244" s="392" t="s">
        <v>244</v>
      </c>
      <c r="D244" s="392" t="s">
        <v>872</v>
      </c>
      <c r="E244" s="392" t="s">
        <v>132</v>
      </c>
      <c r="F244" s="389">
        <f>F245</f>
        <v>163</v>
      </c>
      <c r="G244" s="389">
        <f>G245</f>
        <v>163</v>
      </c>
    </row>
    <row r="245" spans="1:9" ht="47.25" x14ac:dyDescent="0.25">
      <c r="A245" s="396" t="s">
        <v>133</v>
      </c>
      <c r="B245" s="392" t="s">
        <v>215</v>
      </c>
      <c r="C245" s="392" t="s">
        <v>244</v>
      </c>
      <c r="D245" s="392" t="s">
        <v>872</v>
      </c>
      <c r="E245" s="392" t="s">
        <v>134</v>
      </c>
      <c r="F245" s="389">
        <f>'пр.6.1.ведом.22-23 (2)'!G187</f>
        <v>163</v>
      </c>
      <c r="G245" s="389">
        <f>'пр.6.1.ведом.22-23 (2)'!H187</f>
        <v>163</v>
      </c>
    </row>
    <row r="246" spans="1:9" ht="47.25" x14ac:dyDescent="0.25">
      <c r="A246" s="396" t="s">
        <v>838</v>
      </c>
      <c r="B246" s="392" t="s">
        <v>215</v>
      </c>
      <c r="C246" s="392" t="s">
        <v>244</v>
      </c>
      <c r="D246" s="392" t="s">
        <v>873</v>
      </c>
      <c r="E246" s="392"/>
      <c r="F246" s="389">
        <f>F247</f>
        <v>252</v>
      </c>
      <c r="G246" s="389">
        <f>G247</f>
        <v>252</v>
      </c>
    </row>
    <row r="247" spans="1:9" ht="94.5" x14ac:dyDescent="0.25">
      <c r="A247" s="396" t="s">
        <v>127</v>
      </c>
      <c r="B247" s="392" t="s">
        <v>215</v>
      </c>
      <c r="C247" s="392" t="s">
        <v>244</v>
      </c>
      <c r="D247" s="392" t="s">
        <v>873</v>
      </c>
      <c r="E247" s="392" t="s">
        <v>128</v>
      </c>
      <c r="F247" s="389">
        <f>F248</f>
        <v>252</v>
      </c>
      <c r="G247" s="389">
        <f>G248</f>
        <v>252</v>
      </c>
    </row>
    <row r="248" spans="1:9" ht="31.7" customHeight="1" x14ac:dyDescent="0.25">
      <c r="A248" s="396" t="s">
        <v>129</v>
      </c>
      <c r="B248" s="392" t="s">
        <v>215</v>
      </c>
      <c r="C248" s="392" t="s">
        <v>244</v>
      </c>
      <c r="D248" s="392" t="s">
        <v>873</v>
      </c>
      <c r="E248" s="392" t="s">
        <v>130</v>
      </c>
      <c r="F248" s="389">
        <f>'пр.6.1.ведом.22-23 (2)'!G190</f>
        <v>252</v>
      </c>
      <c r="G248" s="389">
        <f>'пр.6.1.ведом.22-23 (2)'!H190</f>
        <v>252</v>
      </c>
    </row>
    <row r="249" spans="1:9" ht="15.75" x14ac:dyDescent="0.25">
      <c r="A249" s="394" t="s">
        <v>232</v>
      </c>
      <c r="B249" s="395" t="s">
        <v>150</v>
      </c>
      <c r="C249" s="395"/>
      <c r="D249" s="395"/>
      <c r="E249" s="392"/>
      <c r="F249" s="388">
        <f t="shared" ref="F249" si="16">F263+F269+F283+F250</f>
        <v>6525.2</v>
      </c>
      <c r="G249" s="388">
        <f>G263+G269+G283+G250</f>
        <v>6535.8</v>
      </c>
    </row>
    <row r="250" spans="1:9" ht="15.75" x14ac:dyDescent="0.25">
      <c r="A250" s="394" t="s">
        <v>233</v>
      </c>
      <c r="B250" s="395" t="s">
        <v>150</v>
      </c>
      <c r="C250" s="395" t="s">
        <v>234</v>
      </c>
      <c r="D250" s="395"/>
      <c r="E250" s="392"/>
      <c r="F250" s="388">
        <f>F251</f>
        <v>274</v>
      </c>
      <c r="G250" s="388">
        <f>G251</f>
        <v>274</v>
      </c>
      <c r="H250" s="22"/>
      <c r="I250" s="22"/>
    </row>
    <row r="251" spans="1:9" ht="47.25" x14ac:dyDescent="0.25">
      <c r="A251" s="34" t="s">
        <v>1380</v>
      </c>
      <c r="B251" s="395" t="s">
        <v>150</v>
      </c>
      <c r="C251" s="395" t="s">
        <v>234</v>
      </c>
      <c r="D251" s="187" t="s">
        <v>182</v>
      </c>
      <c r="E251" s="403"/>
      <c r="F251" s="388">
        <f>F252+F259</f>
        <v>274</v>
      </c>
      <c r="G251" s="388">
        <f>G252+G259</f>
        <v>274</v>
      </c>
    </row>
    <row r="252" spans="1:9" ht="47.25" x14ac:dyDescent="0.25">
      <c r="A252" s="34" t="s">
        <v>1005</v>
      </c>
      <c r="B252" s="395" t="s">
        <v>150</v>
      </c>
      <c r="C252" s="395" t="s">
        <v>234</v>
      </c>
      <c r="D252" s="233" t="s">
        <v>876</v>
      </c>
      <c r="E252" s="403"/>
      <c r="F252" s="388">
        <f>F253+F256</f>
        <v>274</v>
      </c>
      <c r="G252" s="388">
        <f>G253+G256</f>
        <v>274</v>
      </c>
    </row>
    <row r="253" spans="1:9" ht="31.5" x14ac:dyDescent="0.25">
      <c r="A253" s="396" t="s">
        <v>235</v>
      </c>
      <c r="B253" s="392" t="s">
        <v>150</v>
      </c>
      <c r="C253" s="392" t="s">
        <v>234</v>
      </c>
      <c r="D253" s="392" t="s">
        <v>897</v>
      </c>
      <c r="E253" s="398"/>
      <c r="F253" s="389">
        <f>F254</f>
        <v>274</v>
      </c>
      <c r="G253" s="389">
        <f>G254</f>
        <v>274</v>
      </c>
    </row>
    <row r="254" spans="1:9" ht="15.75" x14ac:dyDescent="0.25">
      <c r="A254" s="29" t="s">
        <v>135</v>
      </c>
      <c r="B254" s="392" t="s">
        <v>150</v>
      </c>
      <c r="C254" s="392" t="s">
        <v>234</v>
      </c>
      <c r="D254" s="392" t="s">
        <v>897</v>
      </c>
      <c r="E254" s="398" t="s">
        <v>145</v>
      </c>
      <c r="F254" s="389">
        <f>F255</f>
        <v>274</v>
      </c>
      <c r="G254" s="389">
        <f>G255</f>
        <v>274</v>
      </c>
    </row>
    <row r="255" spans="1:9" ht="63" x14ac:dyDescent="0.25">
      <c r="A255" s="29" t="s">
        <v>184</v>
      </c>
      <c r="B255" s="392" t="s">
        <v>150</v>
      </c>
      <c r="C255" s="392" t="s">
        <v>234</v>
      </c>
      <c r="D255" s="392" t="s">
        <v>897</v>
      </c>
      <c r="E255" s="398" t="s">
        <v>160</v>
      </c>
      <c r="F255" s="389">
        <f>'пр.6.1.ведом.22-23 (2)'!G197</f>
        <v>274</v>
      </c>
      <c r="G255" s="389">
        <f>'пр.6.1.ведом.22-23 (2)'!H197</f>
        <v>274</v>
      </c>
    </row>
    <row r="256" spans="1:9" ht="31.5" hidden="1" x14ac:dyDescent="0.25">
      <c r="A256" s="396" t="s">
        <v>235</v>
      </c>
      <c r="B256" s="392" t="s">
        <v>150</v>
      </c>
      <c r="C256" s="392" t="s">
        <v>234</v>
      </c>
      <c r="D256" s="392" t="s">
        <v>879</v>
      </c>
      <c r="E256" s="392"/>
      <c r="F256" s="389">
        <f>F257</f>
        <v>0</v>
      </c>
      <c r="G256" s="389">
        <f>G257</f>
        <v>0</v>
      </c>
    </row>
    <row r="257" spans="1:7" ht="15.75" hidden="1" x14ac:dyDescent="0.25">
      <c r="A257" s="396" t="s">
        <v>135</v>
      </c>
      <c r="B257" s="392" t="s">
        <v>150</v>
      </c>
      <c r="C257" s="392" t="s">
        <v>234</v>
      </c>
      <c r="D257" s="392" t="s">
        <v>879</v>
      </c>
      <c r="E257" s="392" t="s">
        <v>145</v>
      </c>
      <c r="F257" s="389">
        <f>F258</f>
        <v>0</v>
      </c>
      <c r="G257" s="389">
        <f>G258</f>
        <v>0</v>
      </c>
    </row>
    <row r="258" spans="1:7" ht="63" hidden="1" x14ac:dyDescent="0.25">
      <c r="A258" s="396" t="s">
        <v>184</v>
      </c>
      <c r="B258" s="392" t="s">
        <v>150</v>
      </c>
      <c r="C258" s="392" t="s">
        <v>234</v>
      </c>
      <c r="D258" s="392" t="s">
        <v>879</v>
      </c>
      <c r="E258" s="392" t="s">
        <v>160</v>
      </c>
      <c r="F258" s="389">
        <f>'пр.6.1.ведом.22-23 (2)'!G200</f>
        <v>0</v>
      </c>
      <c r="G258" s="389">
        <f>'пр.6.1.ведом.22-23 (2)'!H200</f>
        <v>0</v>
      </c>
    </row>
    <row r="259" spans="1:7" ht="47.25" hidden="1" x14ac:dyDescent="0.25">
      <c r="A259" s="198" t="s">
        <v>1006</v>
      </c>
      <c r="B259" s="395" t="s">
        <v>150</v>
      </c>
      <c r="C259" s="395" t="s">
        <v>234</v>
      </c>
      <c r="D259" s="187" t="s">
        <v>878</v>
      </c>
      <c r="E259" s="403"/>
      <c r="F259" s="388">
        <f t="shared" ref="F259:G261" si="17">F260</f>
        <v>0</v>
      </c>
      <c r="G259" s="388">
        <f t="shared" si="17"/>
        <v>0</v>
      </c>
    </row>
    <row r="260" spans="1:7" ht="15.75" hidden="1" x14ac:dyDescent="0.25">
      <c r="A260" s="396" t="s">
        <v>877</v>
      </c>
      <c r="B260" s="392" t="s">
        <v>150</v>
      </c>
      <c r="C260" s="392" t="s">
        <v>234</v>
      </c>
      <c r="D260" s="5" t="s">
        <v>898</v>
      </c>
      <c r="E260" s="398"/>
      <c r="F260" s="389">
        <f t="shared" si="17"/>
        <v>0</v>
      </c>
      <c r="G260" s="389">
        <f t="shared" si="17"/>
        <v>0</v>
      </c>
    </row>
    <row r="261" spans="1:7" ht="15.75" hidden="1" x14ac:dyDescent="0.25">
      <c r="A261" s="29" t="s">
        <v>135</v>
      </c>
      <c r="B261" s="392" t="s">
        <v>150</v>
      </c>
      <c r="C261" s="392" t="s">
        <v>234</v>
      </c>
      <c r="D261" s="5" t="s">
        <v>898</v>
      </c>
      <c r="E261" s="398" t="s">
        <v>145</v>
      </c>
      <c r="F261" s="389">
        <f t="shared" si="17"/>
        <v>0</v>
      </c>
      <c r="G261" s="389">
        <f t="shared" si="17"/>
        <v>0</v>
      </c>
    </row>
    <row r="262" spans="1:7" ht="63" hidden="1" x14ac:dyDescent="0.25">
      <c r="A262" s="29" t="s">
        <v>184</v>
      </c>
      <c r="B262" s="392" t="s">
        <v>150</v>
      </c>
      <c r="C262" s="392" t="s">
        <v>234</v>
      </c>
      <c r="D262" s="5" t="s">
        <v>898</v>
      </c>
      <c r="E262" s="398" t="s">
        <v>160</v>
      </c>
      <c r="F262" s="389">
        <f>'пр.6.1.ведом.22-23 (2)'!G204</f>
        <v>0</v>
      </c>
      <c r="G262" s="389">
        <f>'пр.6.1.ведом.22-23 (2)'!H204</f>
        <v>0</v>
      </c>
    </row>
    <row r="263" spans="1:7" ht="15.75" x14ac:dyDescent="0.25">
      <c r="A263" s="394" t="s">
        <v>505</v>
      </c>
      <c r="B263" s="395" t="s">
        <v>150</v>
      </c>
      <c r="C263" s="395" t="s">
        <v>299</v>
      </c>
      <c r="D263" s="395"/>
      <c r="E263" s="395"/>
      <c r="F263" s="388">
        <f t="shared" ref="F263:G265" si="18">F264</f>
        <v>3258</v>
      </c>
      <c r="G263" s="388">
        <f t="shared" si="18"/>
        <v>3258</v>
      </c>
    </row>
    <row r="264" spans="1:7" ht="15.75" x14ac:dyDescent="0.25">
      <c r="A264" s="394" t="s">
        <v>141</v>
      </c>
      <c r="B264" s="395" t="s">
        <v>150</v>
      </c>
      <c r="C264" s="395" t="s">
        <v>299</v>
      </c>
      <c r="D264" s="395" t="s">
        <v>865</v>
      </c>
      <c r="E264" s="395"/>
      <c r="F264" s="388">
        <f t="shared" si="18"/>
        <v>3258</v>
      </c>
      <c r="G264" s="388">
        <f t="shared" si="18"/>
        <v>3258</v>
      </c>
    </row>
    <row r="265" spans="1:7" ht="31.5" x14ac:dyDescent="0.25">
      <c r="A265" s="394" t="s">
        <v>869</v>
      </c>
      <c r="B265" s="395" t="s">
        <v>150</v>
      </c>
      <c r="C265" s="395" t="s">
        <v>299</v>
      </c>
      <c r="D265" s="395" t="s">
        <v>864</v>
      </c>
      <c r="E265" s="395"/>
      <c r="F265" s="388">
        <f t="shared" si="18"/>
        <v>3258</v>
      </c>
      <c r="G265" s="388">
        <f t="shared" si="18"/>
        <v>3258</v>
      </c>
    </row>
    <row r="266" spans="1:7" ht="31.5" x14ac:dyDescent="0.25">
      <c r="A266" s="396" t="s">
        <v>506</v>
      </c>
      <c r="B266" s="392" t="s">
        <v>150</v>
      </c>
      <c r="C266" s="392" t="s">
        <v>299</v>
      </c>
      <c r="D266" s="392" t="s">
        <v>956</v>
      </c>
      <c r="E266" s="392"/>
      <c r="F266" s="389">
        <f>F267</f>
        <v>3258</v>
      </c>
      <c r="G266" s="389">
        <f>G267</f>
        <v>3258</v>
      </c>
    </row>
    <row r="267" spans="1:7" ht="31.5" x14ac:dyDescent="0.25">
      <c r="A267" s="396" t="s">
        <v>131</v>
      </c>
      <c r="B267" s="392" t="s">
        <v>150</v>
      </c>
      <c r="C267" s="392" t="s">
        <v>299</v>
      </c>
      <c r="D267" s="392" t="s">
        <v>956</v>
      </c>
      <c r="E267" s="392" t="s">
        <v>132</v>
      </c>
      <c r="F267" s="389">
        <f>F268</f>
        <v>3258</v>
      </c>
      <c r="G267" s="389">
        <f>G268</f>
        <v>3258</v>
      </c>
    </row>
    <row r="268" spans="1:7" ht="47.25" x14ac:dyDescent="0.25">
      <c r="A268" s="396" t="s">
        <v>133</v>
      </c>
      <c r="B268" s="392" t="s">
        <v>150</v>
      </c>
      <c r="C268" s="392" t="s">
        <v>299</v>
      </c>
      <c r="D268" s="392" t="s">
        <v>956</v>
      </c>
      <c r="E268" s="392" t="s">
        <v>134</v>
      </c>
      <c r="F268" s="389">
        <f>'пр.6.1.ведом.22-23 (2)'!G859</f>
        <v>3258</v>
      </c>
      <c r="G268" s="389">
        <f>'пр.6.1.ведом.22-23 (2)'!H859</f>
        <v>3258</v>
      </c>
    </row>
    <row r="269" spans="1:7" ht="15.75" x14ac:dyDescent="0.25">
      <c r="A269" s="394" t="s">
        <v>508</v>
      </c>
      <c r="B269" s="395" t="s">
        <v>150</v>
      </c>
      <c r="C269" s="395" t="s">
        <v>219</v>
      </c>
      <c r="D269" s="392"/>
      <c r="E269" s="395"/>
      <c r="F269" s="388">
        <f t="shared" ref="F269:G269" si="19">F270</f>
        <v>2319</v>
      </c>
      <c r="G269" s="388">
        <f t="shared" si="19"/>
        <v>2319</v>
      </c>
    </row>
    <row r="270" spans="1:7" ht="47.25" x14ac:dyDescent="0.25">
      <c r="A270" s="34" t="s">
        <v>1369</v>
      </c>
      <c r="B270" s="395" t="s">
        <v>150</v>
      </c>
      <c r="C270" s="395" t="s">
        <v>219</v>
      </c>
      <c r="D270" s="395" t="s">
        <v>510</v>
      </c>
      <c r="E270" s="395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998</v>
      </c>
      <c r="B271" s="395" t="s">
        <v>150</v>
      </c>
      <c r="C271" s="395" t="s">
        <v>219</v>
      </c>
      <c r="D271" s="7" t="s">
        <v>957</v>
      </c>
      <c r="E271" s="395"/>
      <c r="F271" s="59">
        <f t="shared" ref="F271:G273" si="20">F272</f>
        <v>0</v>
      </c>
      <c r="G271" s="59">
        <f t="shared" si="20"/>
        <v>0</v>
      </c>
    </row>
    <row r="272" spans="1:7" ht="15.75" hidden="1" x14ac:dyDescent="0.25">
      <c r="A272" s="29" t="s">
        <v>1000</v>
      </c>
      <c r="B272" s="392" t="s">
        <v>150</v>
      </c>
      <c r="C272" s="392" t="s">
        <v>219</v>
      </c>
      <c r="D272" s="399" t="s">
        <v>999</v>
      </c>
      <c r="E272" s="392"/>
      <c r="F272" s="389">
        <f t="shared" si="20"/>
        <v>0</v>
      </c>
      <c r="G272" s="389">
        <f t="shared" si="20"/>
        <v>0</v>
      </c>
    </row>
    <row r="273" spans="1:7" ht="31.5" hidden="1" x14ac:dyDescent="0.25">
      <c r="A273" s="396" t="s">
        <v>131</v>
      </c>
      <c r="B273" s="392" t="s">
        <v>150</v>
      </c>
      <c r="C273" s="392" t="s">
        <v>219</v>
      </c>
      <c r="D273" s="399" t="s">
        <v>999</v>
      </c>
      <c r="E273" s="392" t="s">
        <v>132</v>
      </c>
      <c r="F273" s="389">
        <f t="shared" si="20"/>
        <v>0</v>
      </c>
      <c r="G273" s="389">
        <f t="shared" si="20"/>
        <v>0</v>
      </c>
    </row>
    <row r="274" spans="1:7" ht="47.25" hidden="1" x14ac:dyDescent="0.25">
      <c r="A274" s="396" t="s">
        <v>133</v>
      </c>
      <c r="B274" s="392" t="s">
        <v>150</v>
      </c>
      <c r="C274" s="392" t="s">
        <v>219</v>
      </c>
      <c r="D274" s="399" t="s">
        <v>999</v>
      </c>
      <c r="E274" s="392" t="s">
        <v>134</v>
      </c>
      <c r="F274" s="389">
        <f>'пр.6.1.ведом.22-23 (2)'!G865</f>
        <v>0</v>
      </c>
      <c r="G274" s="389">
        <f>'пр.6.1.ведом.22-23 (2)'!H865</f>
        <v>0</v>
      </c>
    </row>
    <row r="275" spans="1:7" ht="47.25" x14ac:dyDescent="0.25">
      <c r="A275" s="34" t="s">
        <v>1061</v>
      </c>
      <c r="B275" s="395" t="s">
        <v>150</v>
      </c>
      <c r="C275" s="395" t="s">
        <v>219</v>
      </c>
      <c r="D275" s="395" t="s">
        <v>958</v>
      </c>
      <c r="E275" s="395"/>
      <c r="F275" s="333">
        <f t="shared" ref="F275:G279" si="21">F276</f>
        <v>2319</v>
      </c>
      <c r="G275" s="333">
        <f t="shared" si="21"/>
        <v>2319</v>
      </c>
    </row>
    <row r="276" spans="1:7" ht="15.75" x14ac:dyDescent="0.25">
      <c r="A276" s="29" t="s">
        <v>511</v>
      </c>
      <c r="B276" s="392" t="s">
        <v>150</v>
      </c>
      <c r="C276" s="392" t="s">
        <v>219</v>
      </c>
      <c r="D276" s="399" t="s">
        <v>1001</v>
      </c>
      <c r="E276" s="392"/>
      <c r="F276" s="389">
        <f>F279+F277</f>
        <v>2319</v>
      </c>
      <c r="G276" s="389">
        <f>G279+G277</f>
        <v>2319</v>
      </c>
    </row>
    <row r="277" spans="1:7" ht="94.5" x14ac:dyDescent="0.25">
      <c r="A277" s="396" t="s">
        <v>127</v>
      </c>
      <c r="B277" s="392" t="s">
        <v>150</v>
      </c>
      <c r="C277" s="392" t="s">
        <v>219</v>
      </c>
      <c r="D277" s="399" t="s">
        <v>1001</v>
      </c>
      <c r="E277" s="392" t="s">
        <v>128</v>
      </c>
      <c r="F277" s="397">
        <f>F278</f>
        <v>1807</v>
      </c>
      <c r="G277" s="397">
        <f>G278</f>
        <v>1807</v>
      </c>
    </row>
    <row r="278" spans="1:7" ht="31.5" x14ac:dyDescent="0.25">
      <c r="A278" s="396" t="s">
        <v>342</v>
      </c>
      <c r="B278" s="392" t="s">
        <v>150</v>
      </c>
      <c r="C278" s="392" t="s">
        <v>219</v>
      </c>
      <c r="D278" s="399" t="s">
        <v>1001</v>
      </c>
      <c r="E278" s="392" t="s">
        <v>209</v>
      </c>
      <c r="F278" s="397">
        <f>'пр.6.1.ведом.22-23 (2)'!G869</f>
        <v>1807</v>
      </c>
      <c r="G278" s="397">
        <f>'пр.6.1.ведом.22-23 (2)'!H869</f>
        <v>1807</v>
      </c>
    </row>
    <row r="279" spans="1:7" ht="31.5" x14ac:dyDescent="0.25">
      <c r="A279" s="396" t="s">
        <v>131</v>
      </c>
      <c r="B279" s="392" t="s">
        <v>150</v>
      </c>
      <c r="C279" s="392" t="s">
        <v>219</v>
      </c>
      <c r="D279" s="399" t="s">
        <v>1001</v>
      </c>
      <c r="E279" s="392" t="s">
        <v>132</v>
      </c>
      <c r="F279" s="389">
        <f t="shared" si="21"/>
        <v>512</v>
      </c>
      <c r="G279" s="389">
        <f t="shared" si="21"/>
        <v>512</v>
      </c>
    </row>
    <row r="280" spans="1:7" ht="47.25" x14ac:dyDescent="0.25">
      <c r="A280" s="396" t="s">
        <v>133</v>
      </c>
      <c r="B280" s="392" t="s">
        <v>150</v>
      </c>
      <c r="C280" s="392" t="s">
        <v>219</v>
      </c>
      <c r="D280" s="399" t="s">
        <v>1001</v>
      </c>
      <c r="E280" s="392" t="s">
        <v>134</v>
      </c>
      <c r="F280" s="389">
        <f>'пр.6.1.ведом.22-23 (2)'!G871</f>
        <v>512</v>
      </c>
      <c r="G280" s="389">
        <f>'пр.6.1.ведом.22-23 (2)'!H871</f>
        <v>512</v>
      </c>
    </row>
    <row r="281" spans="1:7" ht="15.75" x14ac:dyDescent="0.25">
      <c r="A281" s="396" t="s">
        <v>135</v>
      </c>
      <c r="B281" s="392" t="s">
        <v>150</v>
      </c>
      <c r="C281" s="392" t="s">
        <v>219</v>
      </c>
      <c r="D281" s="399" t="s">
        <v>1001</v>
      </c>
      <c r="E281" s="392" t="s">
        <v>145</v>
      </c>
      <c r="F281" s="389">
        <f>'[1]Пр.4 Рд,пр, ЦС,ВР 21'!F269</f>
        <v>0</v>
      </c>
      <c r="G281" s="389">
        <f t="shared" si="14"/>
        <v>0</v>
      </c>
    </row>
    <row r="282" spans="1:7" ht="15.75" x14ac:dyDescent="0.25">
      <c r="A282" s="396" t="s">
        <v>568</v>
      </c>
      <c r="B282" s="392" t="s">
        <v>150</v>
      </c>
      <c r="C282" s="392" t="s">
        <v>219</v>
      </c>
      <c r="D282" s="399" t="s">
        <v>1001</v>
      </c>
      <c r="E282" s="392" t="s">
        <v>138</v>
      </c>
      <c r="F282" s="389">
        <f>'[1]Пр.4 Рд,пр, ЦС,ВР 21'!F270</f>
        <v>0</v>
      </c>
      <c r="G282" s="389">
        <f t="shared" si="14"/>
        <v>0</v>
      </c>
    </row>
    <row r="283" spans="1:7" ht="31.5" x14ac:dyDescent="0.25">
      <c r="A283" s="394" t="s">
        <v>237</v>
      </c>
      <c r="B283" s="395" t="s">
        <v>150</v>
      </c>
      <c r="C283" s="395" t="s">
        <v>238</v>
      </c>
      <c r="D283" s="395"/>
      <c r="E283" s="395"/>
      <c r="F283" s="59">
        <f>F284+F291+F309</f>
        <v>674.2</v>
      </c>
      <c r="G283" s="59">
        <f>G284+G291+G309</f>
        <v>684.8</v>
      </c>
    </row>
    <row r="284" spans="1:7" ht="31.5" x14ac:dyDescent="0.25">
      <c r="A284" s="394" t="s">
        <v>916</v>
      </c>
      <c r="B284" s="395" t="s">
        <v>150</v>
      </c>
      <c r="C284" s="395" t="s">
        <v>238</v>
      </c>
      <c r="D284" s="395" t="s">
        <v>857</v>
      </c>
      <c r="E284" s="395"/>
      <c r="F284" s="59">
        <f>F285</f>
        <v>264.2</v>
      </c>
      <c r="G284" s="59">
        <f>G285</f>
        <v>274.8</v>
      </c>
    </row>
    <row r="285" spans="1:7" ht="47.25" x14ac:dyDescent="0.25">
      <c r="A285" s="394" t="s">
        <v>884</v>
      </c>
      <c r="B285" s="395" t="s">
        <v>150</v>
      </c>
      <c r="C285" s="395" t="s">
        <v>238</v>
      </c>
      <c r="D285" s="395" t="s">
        <v>862</v>
      </c>
      <c r="E285" s="395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392" t="s">
        <v>150</v>
      </c>
      <c r="C286" s="392" t="s">
        <v>238</v>
      </c>
      <c r="D286" s="392" t="s">
        <v>923</v>
      </c>
      <c r="E286" s="392"/>
      <c r="F286" s="389">
        <f>F287+F289</f>
        <v>264.2</v>
      </c>
      <c r="G286" s="389">
        <f>G287+G289</f>
        <v>274.8</v>
      </c>
    </row>
    <row r="287" spans="1:7" ht="94.5" x14ac:dyDescent="0.25">
      <c r="A287" s="396" t="s">
        <v>127</v>
      </c>
      <c r="B287" s="392" t="s">
        <v>150</v>
      </c>
      <c r="C287" s="392" t="s">
        <v>238</v>
      </c>
      <c r="D287" s="392" t="s">
        <v>923</v>
      </c>
      <c r="E287" s="392" t="s">
        <v>128</v>
      </c>
      <c r="F287" s="389">
        <f>F288</f>
        <v>205.8</v>
      </c>
      <c r="G287" s="389">
        <f>G288</f>
        <v>205.8</v>
      </c>
    </row>
    <row r="288" spans="1:7" ht="31.5" x14ac:dyDescent="0.25">
      <c r="A288" s="396" t="s">
        <v>129</v>
      </c>
      <c r="B288" s="392" t="s">
        <v>150</v>
      </c>
      <c r="C288" s="392" t="s">
        <v>238</v>
      </c>
      <c r="D288" s="392" t="s">
        <v>923</v>
      </c>
      <c r="E288" s="392" t="s">
        <v>130</v>
      </c>
      <c r="F288" s="389">
        <f>'пр.6.1.ведом.22-23 (2)'!G210</f>
        <v>205.8</v>
      </c>
      <c r="G288" s="389">
        <f>'пр.6.1.ведом.22-23 (2)'!H210</f>
        <v>205.8</v>
      </c>
    </row>
    <row r="289" spans="1:7" ht="31.5" x14ac:dyDescent="0.25">
      <c r="A289" s="396" t="s">
        <v>131</v>
      </c>
      <c r="B289" s="392" t="s">
        <v>150</v>
      </c>
      <c r="C289" s="392" t="s">
        <v>238</v>
      </c>
      <c r="D289" s="392" t="s">
        <v>923</v>
      </c>
      <c r="E289" s="392" t="s">
        <v>132</v>
      </c>
      <c r="F289" s="389">
        <f>F290</f>
        <v>58.4</v>
      </c>
      <c r="G289" s="389">
        <f>G290</f>
        <v>69</v>
      </c>
    </row>
    <row r="290" spans="1:7" ht="47.25" x14ac:dyDescent="0.25">
      <c r="A290" s="396" t="s">
        <v>133</v>
      </c>
      <c r="B290" s="392" t="s">
        <v>150</v>
      </c>
      <c r="C290" s="392" t="s">
        <v>238</v>
      </c>
      <c r="D290" s="392" t="s">
        <v>923</v>
      </c>
      <c r="E290" s="392" t="s">
        <v>134</v>
      </c>
      <c r="F290" s="389">
        <f>'пр.6.1.ведом.22-23 (2)'!G212</f>
        <v>58.4</v>
      </c>
      <c r="G290" s="389">
        <f>'пр.6.1.ведом.22-23 (2)'!H212</f>
        <v>69</v>
      </c>
    </row>
    <row r="291" spans="1:7" ht="47.25" x14ac:dyDescent="0.25">
      <c r="A291" s="394" t="s">
        <v>1371</v>
      </c>
      <c r="B291" s="395" t="s">
        <v>150</v>
      </c>
      <c r="C291" s="395" t="s">
        <v>238</v>
      </c>
      <c r="D291" s="395" t="s">
        <v>344</v>
      </c>
      <c r="E291" s="403"/>
      <c r="F291" s="59">
        <f>F292</f>
        <v>260</v>
      </c>
      <c r="G291" s="59">
        <f>G292</f>
        <v>260</v>
      </c>
    </row>
    <row r="292" spans="1:7" ht="63" x14ac:dyDescent="0.25">
      <c r="A292" s="394" t="s">
        <v>367</v>
      </c>
      <c r="B292" s="395" t="s">
        <v>150</v>
      </c>
      <c r="C292" s="395" t="s">
        <v>238</v>
      </c>
      <c r="D292" s="395" t="s">
        <v>356</v>
      </c>
      <c r="E292" s="395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199" t="s">
        <v>1043</v>
      </c>
      <c r="B293" s="395" t="s">
        <v>150</v>
      </c>
      <c r="C293" s="395" t="s">
        <v>238</v>
      </c>
      <c r="D293" s="395" t="s">
        <v>906</v>
      </c>
      <c r="E293" s="395"/>
      <c r="F293" s="59">
        <f>F294</f>
        <v>0</v>
      </c>
      <c r="G293" s="59">
        <f>G294</f>
        <v>0</v>
      </c>
    </row>
    <row r="294" spans="1:7" ht="63" hidden="1" x14ac:dyDescent="0.25">
      <c r="A294" s="396" t="s">
        <v>375</v>
      </c>
      <c r="B294" s="392" t="s">
        <v>150</v>
      </c>
      <c r="C294" s="392" t="s">
        <v>238</v>
      </c>
      <c r="D294" s="392" t="s">
        <v>1314</v>
      </c>
      <c r="E294" s="392"/>
      <c r="F294" s="389">
        <f>'[1]Пр.4 Рд,пр, ЦС,ВР 21'!F282</f>
        <v>0</v>
      </c>
      <c r="G294" s="389">
        <f t="shared" ref="G294:G341" si="22">F294</f>
        <v>0</v>
      </c>
    </row>
    <row r="295" spans="1:7" ht="31.5" hidden="1" x14ac:dyDescent="0.25">
      <c r="A295" s="396" t="s">
        <v>248</v>
      </c>
      <c r="B295" s="392" t="s">
        <v>150</v>
      </c>
      <c r="C295" s="392" t="s">
        <v>238</v>
      </c>
      <c r="D295" s="392" t="s">
        <v>1314</v>
      </c>
      <c r="E295" s="392" t="s">
        <v>249</v>
      </c>
      <c r="F295" s="389">
        <f>'[1]Пр.4 Рд,пр, ЦС,ВР 21'!F283</f>
        <v>0</v>
      </c>
      <c r="G295" s="389">
        <f t="shared" si="22"/>
        <v>0</v>
      </c>
    </row>
    <row r="296" spans="1:7" ht="31.5" hidden="1" x14ac:dyDescent="0.25">
      <c r="A296" s="396" t="s">
        <v>250</v>
      </c>
      <c r="B296" s="392" t="s">
        <v>150</v>
      </c>
      <c r="C296" s="392" t="s">
        <v>238</v>
      </c>
      <c r="D296" s="392" t="s">
        <v>1314</v>
      </c>
      <c r="E296" s="392" t="s">
        <v>251</v>
      </c>
      <c r="F296" s="389">
        <f>'[1]Пр.4 Рд,пр, ЦС,ВР 21'!F284</f>
        <v>0</v>
      </c>
      <c r="G296" s="389">
        <f t="shared" si="22"/>
        <v>0</v>
      </c>
    </row>
    <row r="297" spans="1:7" ht="47.25" x14ac:dyDescent="0.25">
      <c r="A297" s="394" t="s">
        <v>1041</v>
      </c>
      <c r="B297" s="395" t="s">
        <v>150</v>
      </c>
      <c r="C297" s="395" t="s">
        <v>238</v>
      </c>
      <c r="D297" s="395" t="s">
        <v>1197</v>
      </c>
      <c r="E297" s="395"/>
      <c r="F297" s="59">
        <f t="shared" ref="F297:G299" si="23">F298</f>
        <v>260</v>
      </c>
      <c r="G297" s="59">
        <f t="shared" si="23"/>
        <v>260</v>
      </c>
    </row>
    <row r="298" spans="1:7" ht="126" x14ac:dyDescent="0.25">
      <c r="A298" s="396" t="s">
        <v>1485</v>
      </c>
      <c r="B298" s="392" t="s">
        <v>150</v>
      </c>
      <c r="C298" s="392" t="s">
        <v>238</v>
      </c>
      <c r="D298" s="392" t="s">
        <v>1198</v>
      </c>
      <c r="E298" s="392"/>
      <c r="F298" s="389">
        <f t="shared" si="23"/>
        <v>260</v>
      </c>
      <c r="G298" s="389">
        <f t="shared" si="23"/>
        <v>260</v>
      </c>
    </row>
    <row r="299" spans="1:7" ht="15.75" x14ac:dyDescent="0.25">
      <c r="A299" s="396" t="s">
        <v>135</v>
      </c>
      <c r="B299" s="392" t="s">
        <v>150</v>
      </c>
      <c r="C299" s="392" t="s">
        <v>238</v>
      </c>
      <c r="D299" s="392" t="s">
        <v>1198</v>
      </c>
      <c r="E299" s="392" t="s">
        <v>145</v>
      </c>
      <c r="F299" s="389">
        <f t="shared" si="23"/>
        <v>260</v>
      </c>
      <c r="G299" s="389">
        <f t="shared" si="23"/>
        <v>260</v>
      </c>
    </row>
    <row r="300" spans="1:7" ht="63" x14ac:dyDescent="0.25">
      <c r="A300" s="396" t="s">
        <v>184</v>
      </c>
      <c r="B300" s="392" t="s">
        <v>150</v>
      </c>
      <c r="C300" s="392" t="s">
        <v>238</v>
      </c>
      <c r="D300" s="392" t="s">
        <v>1198</v>
      </c>
      <c r="E300" s="392" t="s">
        <v>160</v>
      </c>
      <c r="F300" s="389">
        <f>'пр.6.1.ведом.22-23 (2)'!G284</f>
        <v>260</v>
      </c>
      <c r="G300" s="389">
        <f>'пр.6.1.ведом.22-23 (2)'!H284</f>
        <v>260</v>
      </c>
    </row>
    <row r="301" spans="1:7" ht="31.5" hidden="1" x14ac:dyDescent="0.25">
      <c r="A301" s="394" t="s">
        <v>994</v>
      </c>
      <c r="B301" s="395" t="s">
        <v>150</v>
      </c>
      <c r="C301" s="395" t="s">
        <v>238</v>
      </c>
      <c r="D301" s="395" t="s">
        <v>1307</v>
      </c>
      <c r="E301" s="395"/>
      <c r="F301" s="59">
        <f>F302</f>
        <v>0</v>
      </c>
      <c r="G301" s="59">
        <f>G302</f>
        <v>0</v>
      </c>
    </row>
    <row r="302" spans="1:7" ht="47.25" hidden="1" x14ac:dyDescent="0.25">
      <c r="A302" s="234" t="s">
        <v>1044</v>
      </c>
      <c r="B302" s="392" t="s">
        <v>150</v>
      </c>
      <c r="C302" s="392" t="s">
        <v>238</v>
      </c>
      <c r="D302" s="392" t="s">
        <v>1308</v>
      </c>
      <c r="E302" s="392"/>
      <c r="F302" s="389">
        <f>'[1]Пр.4 Рд,пр, ЦС,ВР 21'!F290</f>
        <v>0</v>
      </c>
      <c r="G302" s="389">
        <f t="shared" si="22"/>
        <v>0</v>
      </c>
    </row>
    <row r="303" spans="1:7" ht="31.5" hidden="1" x14ac:dyDescent="0.25">
      <c r="A303" s="396" t="s">
        <v>131</v>
      </c>
      <c r="B303" s="392" t="s">
        <v>150</v>
      </c>
      <c r="C303" s="392" t="s">
        <v>238</v>
      </c>
      <c r="D303" s="392" t="s">
        <v>1308</v>
      </c>
      <c r="E303" s="392" t="s">
        <v>132</v>
      </c>
      <c r="F303" s="389">
        <f>'[1]Пр.4 Рд,пр, ЦС,ВР 21'!F291</f>
        <v>0</v>
      </c>
      <c r="G303" s="389">
        <f t="shared" si="22"/>
        <v>0</v>
      </c>
    </row>
    <row r="304" spans="1:7" ht="47.25" hidden="1" x14ac:dyDescent="0.25">
      <c r="A304" s="396" t="s">
        <v>133</v>
      </c>
      <c r="B304" s="392" t="s">
        <v>150</v>
      </c>
      <c r="C304" s="392" t="s">
        <v>238</v>
      </c>
      <c r="D304" s="392" t="s">
        <v>1308</v>
      </c>
      <c r="E304" s="392" t="s">
        <v>134</v>
      </c>
      <c r="F304" s="389">
        <f>'[1]Пр.4 Рд,пр, ЦС,ВР 21'!F292</f>
        <v>0</v>
      </c>
      <c r="G304" s="389">
        <f t="shared" si="22"/>
        <v>0</v>
      </c>
    </row>
    <row r="305" spans="1:9" ht="47.25" hidden="1" x14ac:dyDescent="0.25">
      <c r="A305" s="402" t="s">
        <v>1103</v>
      </c>
      <c r="B305" s="395" t="s">
        <v>150</v>
      </c>
      <c r="C305" s="395" t="s">
        <v>238</v>
      </c>
      <c r="D305" s="395" t="s">
        <v>1199</v>
      </c>
      <c r="E305" s="395"/>
      <c r="F305" s="393">
        <f t="shared" ref="F305:G307" si="24">F306</f>
        <v>0</v>
      </c>
      <c r="G305" s="393">
        <f t="shared" si="24"/>
        <v>0</v>
      </c>
    </row>
    <row r="306" spans="1:9" ht="31.5" hidden="1" x14ac:dyDescent="0.25">
      <c r="A306" s="215" t="s">
        <v>1104</v>
      </c>
      <c r="B306" s="392" t="s">
        <v>150</v>
      </c>
      <c r="C306" s="392" t="s">
        <v>238</v>
      </c>
      <c r="D306" s="392" t="s">
        <v>1200</v>
      </c>
      <c r="E306" s="392"/>
      <c r="F306" s="397">
        <f t="shared" si="24"/>
        <v>0</v>
      </c>
      <c r="G306" s="389">
        <f t="shared" si="24"/>
        <v>0</v>
      </c>
    </row>
    <row r="307" spans="1:9" ht="31.5" hidden="1" x14ac:dyDescent="0.25">
      <c r="A307" s="396" t="s">
        <v>131</v>
      </c>
      <c r="B307" s="392" t="s">
        <v>150</v>
      </c>
      <c r="C307" s="392" t="s">
        <v>238</v>
      </c>
      <c r="D307" s="392" t="s">
        <v>1200</v>
      </c>
      <c r="E307" s="392" t="s">
        <v>132</v>
      </c>
      <c r="F307" s="397">
        <f t="shared" si="24"/>
        <v>0</v>
      </c>
      <c r="G307" s="389">
        <f t="shared" si="24"/>
        <v>0</v>
      </c>
    </row>
    <row r="308" spans="1:9" ht="47.25" hidden="1" x14ac:dyDescent="0.25">
      <c r="A308" s="396" t="s">
        <v>133</v>
      </c>
      <c r="B308" s="392" t="s">
        <v>150</v>
      </c>
      <c r="C308" s="392" t="s">
        <v>238</v>
      </c>
      <c r="D308" s="392" t="s">
        <v>1200</v>
      </c>
      <c r="E308" s="392" t="s">
        <v>134</v>
      </c>
      <c r="F308" s="397">
        <f>'пр.6.1.ведом.22-23 (2)'!G292</f>
        <v>0</v>
      </c>
      <c r="G308" s="389">
        <f>'пр.6.1.ведом.22-23 (2)'!H292</f>
        <v>0</v>
      </c>
    </row>
    <row r="309" spans="1:9" ht="47.25" x14ac:dyDescent="0.25">
      <c r="A309" s="394" t="s">
        <v>1335</v>
      </c>
      <c r="B309" s="395" t="s">
        <v>150</v>
      </c>
      <c r="C309" s="395" t="s">
        <v>238</v>
      </c>
      <c r="D309" s="395" t="s">
        <v>156</v>
      </c>
      <c r="E309" s="395"/>
      <c r="F309" s="59">
        <f t="shared" ref="F309:G312" si="25">F310</f>
        <v>150</v>
      </c>
      <c r="G309" s="59">
        <f t="shared" si="25"/>
        <v>150</v>
      </c>
    </row>
    <row r="310" spans="1:9" ht="47.25" x14ac:dyDescent="0.25">
      <c r="A310" s="394" t="s">
        <v>1065</v>
      </c>
      <c r="B310" s="395" t="s">
        <v>150</v>
      </c>
      <c r="C310" s="395" t="s">
        <v>238</v>
      </c>
      <c r="D310" s="395" t="s">
        <v>1062</v>
      </c>
      <c r="E310" s="395"/>
      <c r="F310" s="59">
        <f t="shared" si="25"/>
        <v>150</v>
      </c>
      <c r="G310" s="59">
        <f t="shared" si="25"/>
        <v>150</v>
      </c>
    </row>
    <row r="311" spans="1:9" ht="31.5" x14ac:dyDescent="0.25">
      <c r="A311" s="396" t="s">
        <v>1066</v>
      </c>
      <c r="B311" s="392" t="s">
        <v>150</v>
      </c>
      <c r="C311" s="392" t="s">
        <v>238</v>
      </c>
      <c r="D311" s="392" t="s">
        <v>1063</v>
      </c>
      <c r="E311" s="392"/>
      <c r="F311" s="389">
        <f t="shared" si="25"/>
        <v>150</v>
      </c>
      <c r="G311" s="389">
        <f t="shared" si="25"/>
        <v>150</v>
      </c>
    </row>
    <row r="312" spans="1:9" ht="15.75" x14ac:dyDescent="0.25">
      <c r="A312" s="396" t="s">
        <v>135</v>
      </c>
      <c r="B312" s="392" t="s">
        <v>150</v>
      </c>
      <c r="C312" s="392" t="s">
        <v>238</v>
      </c>
      <c r="D312" s="392" t="s">
        <v>1063</v>
      </c>
      <c r="E312" s="392" t="s">
        <v>145</v>
      </c>
      <c r="F312" s="389">
        <f t="shared" si="25"/>
        <v>150</v>
      </c>
      <c r="G312" s="389">
        <f t="shared" si="25"/>
        <v>150</v>
      </c>
    </row>
    <row r="313" spans="1:9" ht="63" x14ac:dyDescent="0.25">
      <c r="A313" s="396" t="s">
        <v>184</v>
      </c>
      <c r="B313" s="392" t="s">
        <v>150</v>
      </c>
      <c r="C313" s="392" t="s">
        <v>238</v>
      </c>
      <c r="D313" s="392" t="s">
        <v>1063</v>
      </c>
      <c r="E313" s="392" t="s">
        <v>160</v>
      </c>
      <c r="F313" s="389">
        <f>'пр.6.1.ведом.22-23 (2)'!G217</f>
        <v>150</v>
      </c>
      <c r="G313" s="389">
        <f>'пр.6.1.ведом.22-23 (2)'!H217</f>
        <v>150</v>
      </c>
    </row>
    <row r="314" spans="1:9" ht="15.75" x14ac:dyDescent="0.25">
      <c r="A314" s="394" t="s">
        <v>390</v>
      </c>
      <c r="B314" s="395" t="s">
        <v>234</v>
      </c>
      <c r="C314" s="395"/>
      <c r="D314" s="395"/>
      <c r="E314" s="395"/>
      <c r="F314" s="388">
        <f>F315++F329+F393+F443</f>
        <v>41786.1</v>
      </c>
      <c r="G314" s="388">
        <f>G315++G329+G393+G443</f>
        <v>49898.45</v>
      </c>
    </row>
    <row r="315" spans="1:9" ht="15.75" x14ac:dyDescent="0.25">
      <c r="A315" s="394" t="s">
        <v>391</v>
      </c>
      <c r="B315" s="395" t="s">
        <v>234</v>
      </c>
      <c r="C315" s="395" t="s">
        <v>118</v>
      </c>
      <c r="D315" s="395"/>
      <c r="E315" s="395"/>
      <c r="F315" s="388">
        <f t="shared" ref="F315:G316" si="26">F316</f>
        <v>6060.4</v>
      </c>
      <c r="G315" s="388">
        <f t="shared" si="26"/>
        <v>6060.4</v>
      </c>
      <c r="I315" s="22"/>
    </row>
    <row r="316" spans="1:9" ht="15.75" x14ac:dyDescent="0.25">
      <c r="A316" s="394" t="s">
        <v>141</v>
      </c>
      <c r="B316" s="395" t="s">
        <v>234</v>
      </c>
      <c r="C316" s="395" t="s">
        <v>118</v>
      </c>
      <c r="D316" s="395" t="s">
        <v>865</v>
      </c>
      <c r="E316" s="395"/>
      <c r="F316" s="388">
        <f t="shared" si="26"/>
        <v>6060.4</v>
      </c>
      <c r="G316" s="388">
        <f t="shared" si="26"/>
        <v>6060.4</v>
      </c>
    </row>
    <row r="317" spans="1:9" ht="31.5" x14ac:dyDescent="0.25">
      <c r="A317" s="394" t="s">
        <v>869</v>
      </c>
      <c r="B317" s="395" t="s">
        <v>234</v>
      </c>
      <c r="C317" s="395" t="s">
        <v>118</v>
      </c>
      <c r="D317" s="395" t="s">
        <v>864</v>
      </c>
      <c r="E317" s="395"/>
      <c r="F317" s="388">
        <f>F318+F323+F326</f>
        <v>6060.4</v>
      </c>
      <c r="G317" s="388">
        <f>G318+G323+G326</f>
        <v>6060.4</v>
      </c>
    </row>
    <row r="318" spans="1:9" ht="15.75" hidden="1" x14ac:dyDescent="0.25">
      <c r="A318" s="396" t="s">
        <v>515</v>
      </c>
      <c r="B318" s="392" t="s">
        <v>774</v>
      </c>
      <c r="C318" s="392" t="s">
        <v>118</v>
      </c>
      <c r="D318" s="392" t="s">
        <v>959</v>
      </c>
      <c r="E318" s="395"/>
      <c r="F318" s="389">
        <f>'[1]Пр.4 Рд,пр, ЦС,ВР 21'!F306</f>
        <v>0</v>
      </c>
      <c r="G318" s="389">
        <f t="shared" si="22"/>
        <v>0</v>
      </c>
    </row>
    <row r="319" spans="1:9" ht="31.5" hidden="1" x14ac:dyDescent="0.25">
      <c r="A319" s="396" t="s">
        <v>131</v>
      </c>
      <c r="B319" s="392" t="s">
        <v>234</v>
      </c>
      <c r="C319" s="392" t="s">
        <v>118</v>
      </c>
      <c r="D319" s="392" t="s">
        <v>959</v>
      </c>
      <c r="E319" s="392" t="s">
        <v>132</v>
      </c>
      <c r="F319" s="389">
        <f>'[1]Пр.4 Рд,пр, ЦС,ВР 21'!F307</f>
        <v>0</v>
      </c>
      <c r="G319" s="389">
        <f t="shared" si="22"/>
        <v>0</v>
      </c>
    </row>
    <row r="320" spans="1:9" ht="47.25" hidden="1" x14ac:dyDescent="0.25">
      <c r="A320" s="396" t="s">
        <v>133</v>
      </c>
      <c r="B320" s="392" t="s">
        <v>234</v>
      </c>
      <c r="C320" s="392" t="s">
        <v>118</v>
      </c>
      <c r="D320" s="392" t="s">
        <v>959</v>
      </c>
      <c r="E320" s="392" t="s">
        <v>134</v>
      </c>
      <c r="F320" s="389">
        <f>'[1]Пр.4 Рд,пр, ЦС,ВР 21'!F308</f>
        <v>0</v>
      </c>
      <c r="G320" s="389">
        <f t="shared" si="22"/>
        <v>0</v>
      </c>
    </row>
    <row r="321" spans="1:7" ht="15.75" hidden="1" x14ac:dyDescent="0.25">
      <c r="A321" s="396" t="s">
        <v>135</v>
      </c>
      <c r="B321" s="392" t="s">
        <v>234</v>
      </c>
      <c r="C321" s="392" t="s">
        <v>118</v>
      </c>
      <c r="D321" s="392" t="s">
        <v>959</v>
      </c>
      <c r="E321" s="392" t="s">
        <v>145</v>
      </c>
      <c r="F321" s="389">
        <f>'[1]Пр.4 Рд,пр, ЦС,ВР 21'!F309</f>
        <v>0</v>
      </c>
      <c r="G321" s="389">
        <f t="shared" si="22"/>
        <v>0</v>
      </c>
    </row>
    <row r="322" spans="1:7" ht="63" hidden="1" x14ac:dyDescent="0.25">
      <c r="A322" s="396" t="s">
        <v>184</v>
      </c>
      <c r="B322" s="392" t="s">
        <v>234</v>
      </c>
      <c r="C322" s="392" t="s">
        <v>118</v>
      </c>
      <c r="D322" s="392" t="s">
        <v>959</v>
      </c>
      <c r="E322" s="392" t="s">
        <v>160</v>
      </c>
      <c r="F322" s="389">
        <f>'[1]Пр.4 Рд,пр, ЦС,ВР 21'!F310</f>
        <v>0</v>
      </c>
      <c r="G322" s="389">
        <f t="shared" si="22"/>
        <v>0</v>
      </c>
    </row>
    <row r="323" spans="1:7" ht="31.5" x14ac:dyDescent="0.25">
      <c r="A323" s="29" t="s">
        <v>398</v>
      </c>
      <c r="B323" s="392" t="s">
        <v>234</v>
      </c>
      <c r="C323" s="392" t="s">
        <v>118</v>
      </c>
      <c r="D323" s="392" t="s">
        <v>960</v>
      </c>
      <c r="E323" s="395"/>
      <c r="F323" s="389">
        <f>F324</f>
        <v>4920.3999999999996</v>
      </c>
      <c r="G323" s="389">
        <f>G324</f>
        <v>4920.3999999999996</v>
      </c>
    </row>
    <row r="324" spans="1:7" ht="31.5" x14ac:dyDescent="0.25">
      <c r="A324" s="396" t="s">
        <v>131</v>
      </c>
      <c r="B324" s="392" t="s">
        <v>234</v>
      </c>
      <c r="C324" s="392" t="s">
        <v>118</v>
      </c>
      <c r="D324" s="392" t="s">
        <v>960</v>
      </c>
      <c r="E324" s="392" t="s">
        <v>132</v>
      </c>
      <c r="F324" s="389">
        <f>F325</f>
        <v>4920.3999999999996</v>
      </c>
      <c r="G324" s="389">
        <f>G325</f>
        <v>4920.3999999999996</v>
      </c>
    </row>
    <row r="325" spans="1:7" ht="47.25" x14ac:dyDescent="0.25">
      <c r="A325" s="396" t="s">
        <v>133</v>
      </c>
      <c r="B325" s="392" t="s">
        <v>234</v>
      </c>
      <c r="C325" s="392" t="s">
        <v>118</v>
      </c>
      <c r="D325" s="392" t="s">
        <v>960</v>
      </c>
      <c r="E325" s="392" t="s">
        <v>134</v>
      </c>
      <c r="F325" s="389">
        <f>'пр.6.1.ведом.22-23 (2)'!G885+'пр.6.1.ведом.22-23 (2)'!G527</f>
        <v>4920.3999999999996</v>
      </c>
      <c r="G325" s="389">
        <f>'пр.6.1.ведом.22-23 (2)'!H885+'пр.6.1.ведом.22-23 (2)'!H527</f>
        <v>4920.3999999999996</v>
      </c>
    </row>
    <row r="326" spans="1:7" ht="47.25" x14ac:dyDescent="0.25">
      <c r="A326" s="29" t="s">
        <v>931</v>
      </c>
      <c r="B326" s="392" t="s">
        <v>234</v>
      </c>
      <c r="C326" s="392" t="s">
        <v>118</v>
      </c>
      <c r="D326" s="392" t="s">
        <v>961</v>
      </c>
      <c r="E326" s="395"/>
      <c r="F326" s="389">
        <f>F327</f>
        <v>1140</v>
      </c>
      <c r="G326" s="389">
        <f>G327</f>
        <v>1140</v>
      </c>
    </row>
    <row r="327" spans="1:7" ht="31.5" x14ac:dyDescent="0.25">
      <c r="A327" s="396" t="s">
        <v>131</v>
      </c>
      <c r="B327" s="392" t="s">
        <v>234</v>
      </c>
      <c r="C327" s="392" t="s">
        <v>118</v>
      </c>
      <c r="D327" s="392" t="s">
        <v>961</v>
      </c>
      <c r="E327" s="392" t="s">
        <v>132</v>
      </c>
      <c r="F327" s="389">
        <f>F328</f>
        <v>1140</v>
      </c>
      <c r="G327" s="389">
        <f>G328</f>
        <v>1140</v>
      </c>
    </row>
    <row r="328" spans="1:7" ht="47.25" x14ac:dyDescent="0.25">
      <c r="A328" s="396" t="s">
        <v>133</v>
      </c>
      <c r="B328" s="392" t="s">
        <v>234</v>
      </c>
      <c r="C328" s="392" t="s">
        <v>118</v>
      </c>
      <c r="D328" s="392" t="s">
        <v>961</v>
      </c>
      <c r="E328" s="392" t="s">
        <v>134</v>
      </c>
      <c r="F328" s="389">
        <f>'пр.6.1.ведом.22-23 (2)'!G530+'пр.6.1.ведом.22-23 (2)'!G888</f>
        <v>1140</v>
      </c>
      <c r="G328" s="389">
        <f>'пр.6.1.ведом.22-23 (2)'!H530+'пр.6.1.ведом.22-23 (2)'!H888</f>
        <v>1140</v>
      </c>
    </row>
    <row r="329" spans="1:7" ht="15.75" x14ac:dyDescent="0.25">
      <c r="A329" s="394" t="s">
        <v>517</v>
      </c>
      <c r="B329" s="395" t="s">
        <v>234</v>
      </c>
      <c r="C329" s="395" t="s">
        <v>213</v>
      </c>
      <c r="D329" s="395"/>
      <c r="E329" s="395"/>
      <c r="F329" s="388">
        <f>F359+F330+F388</f>
        <v>6611.199999999998</v>
      </c>
      <c r="G329" s="388">
        <f>G359+G330+G388</f>
        <v>14470.550000000001</v>
      </c>
    </row>
    <row r="330" spans="1:7" ht="15.75" x14ac:dyDescent="0.25">
      <c r="A330" s="394" t="s">
        <v>141</v>
      </c>
      <c r="B330" s="395" t="s">
        <v>234</v>
      </c>
      <c r="C330" s="395" t="s">
        <v>213</v>
      </c>
      <c r="D330" s="395" t="s">
        <v>865</v>
      </c>
      <c r="E330" s="395"/>
      <c r="F330" s="388">
        <f>F331+F342</f>
        <v>5707.199999999998</v>
      </c>
      <c r="G330" s="388">
        <f>G331+G342</f>
        <v>13555.550000000001</v>
      </c>
    </row>
    <row r="331" spans="1:7" ht="31.5" x14ac:dyDescent="0.25">
      <c r="A331" s="394" t="s">
        <v>869</v>
      </c>
      <c r="B331" s="395" t="s">
        <v>234</v>
      </c>
      <c r="C331" s="395" t="s">
        <v>213</v>
      </c>
      <c r="D331" s="395" t="s">
        <v>864</v>
      </c>
      <c r="E331" s="395"/>
      <c r="F331" s="388">
        <f>F332+F337</f>
        <v>5707.199999999998</v>
      </c>
      <c r="G331" s="388">
        <f>G332+G337</f>
        <v>13555.550000000001</v>
      </c>
    </row>
    <row r="332" spans="1:7" ht="31.5" hidden="1" x14ac:dyDescent="0.25">
      <c r="A332" s="35" t="s">
        <v>537</v>
      </c>
      <c r="B332" s="392" t="s">
        <v>234</v>
      </c>
      <c r="C332" s="392" t="s">
        <v>213</v>
      </c>
      <c r="D332" s="392" t="s">
        <v>978</v>
      </c>
      <c r="E332" s="392"/>
      <c r="F332" s="389">
        <f>F333+F335</f>
        <v>0</v>
      </c>
      <c r="G332" s="389">
        <f t="shared" si="22"/>
        <v>0</v>
      </c>
    </row>
    <row r="333" spans="1:7" ht="31.5" hidden="1" x14ac:dyDescent="0.25">
      <c r="A333" s="396" t="s">
        <v>131</v>
      </c>
      <c r="B333" s="392" t="s">
        <v>234</v>
      </c>
      <c r="C333" s="392" t="s">
        <v>213</v>
      </c>
      <c r="D333" s="392" t="s">
        <v>978</v>
      </c>
      <c r="E333" s="392" t="s">
        <v>132</v>
      </c>
      <c r="F333" s="389">
        <f>F334</f>
        <v>0</v>
      </c>
      <c r="G333" s="389">
        <f t="shared" si="22"/>
        <v>0</v>
      </c>
    </row>
    <row r="334" spans="1:7" ht="47.25" hidden="1" x14ac:dyDescent="0.25">
      <c r="A334" s="396" t="s">
        <v>133</v>
      </c>
      <c r="B334" s="392" t="s">
        <v>234</v>
      </c>
      <c r="C334" s="392" t="s">
        <v>213</v>
      </c>
      <c r="D334" s="392" t="s">
        <v>978</v>
      </c>
      <c r="E334" s="392" t="s">
        <v>134</v>
      </c>
      <c r="F334" s="389">
        <f>'пр.6.1.ведом.22-23 (2)'!G894</f>
        <v>0</v>
      </c>
      <c r="G334" s="389">
        <f t="shared" si="22"/>
        <v>0</v>
      </c>
    </row>
    <row r="335" spans="1:7" ht="15.75" hidden="1" x14ac:dyDescent="0.25">
      <c r="A335" s="396" t="s">
        <v>135</v>
      </c>
      <c r="B335" s="392" t="s">
        <v>234</v>
      </c>
      <c r="C335" s="392" t="s">
        <v>213</v>
      </c>
      <c r="D335" s="392" t="s">
        <v>978</v>
      </c>
      <c r="E335" s="392" t="s">
        <v>145</v>
      </c>
      <c r="F335" s="389">
        <f>F336</f>
        <v>0</v>
      </c>
      <c r="G335" s="389">
        <f t="shared" si="22"/>
        <v>0</v>
      </c>
    </row>
    <row r="336" spans="1:7" ht="63" hidden="1" x14ac:dyDescent="0.25">
      <c r="A336" s="396" t="s">
        <v>184</v>
      </c>
      <c r="B336" s="392" t="s">
        <v>234</v>
      </c>
      <c r="C336" s="392" t="s">
        <v>213</v>
      </c>
      <c r="D336" s="392" t="s">
        <v>978</v>
      </c>
      <c r="E336" s="392" t="s">
        <v>160</v>
      </c>
      <c r="F336" s="389">
        <f>'пр.6.1.ведом.22-23 (2)'!G896</f>
        <v>0</v>
      </c>
      <c r="G336" s="389">
        <f t="shared" si="22"/>
        <v>0</v>
      </c>
    </row>
    <row r="337" spans="1:7" ht="47.25" x14ac:dyDescent="0.25">
      <c r="A337" s="29" t="s">
        <v>931</v>
      </c>
      <c r="B337" s="392" t="s">
        <v>234</v>
      </c>
      <c r="C337" s="392" t="s">
        <v>213</v>
      </c>
      <c r="D337" s="392" t="s">
        <v>961</v>
      </c>
      <c r="E337" s="392"/>
      <c r="F337" s="389">
        <f>F338</f>
        <v>5707.199999999998</v>
      </c>
      <c r="G337" s="389">
        <f>G338</f>
        <v>13555.550000000001</v>
      </c>
    </row>
    <row r="338" spans="1:7" ht="31.5" x14ac:dyDescent="0.25">
      <c r="A338" s="396" t="s">
        <v>131</v>
      </c>
      <c r="B338" s="392" t="s">
        <v>234</v>
      </c>
      <c r="C338" s="392" t="s">
        <v>213</v>
      </c>
      <c r="D338" s="392" t="s">
        <v>961</v>
      </c>
      <c r="E338" s="392" t="s">
        <v>132</v>
      </c>
      <c r="F338" s="389">
        <f>F339</f>
        <v>5707.199999999998</v>
      </c>
      <c r="G338" s="389">
        <f>G339</f>
        <v>13555.550000000001</v>
      </c>
    </row>
    <row r="339" spans="1:7" ht="47.25" x14ac:dyDescent="0.25">
      <c r="A339" s="396" t="s">
        <v>133</v>
      </c>
      <c r="B339" s="392" t="s">
        <v>234</v>
      </c>
      <c r="C339" s="392" t="s">
        <v>213</v>
      </c>
      <c r="D339" s="392" t="s">
        <v>961</v>
      </c>
      <c r="E339" s="392" t="s">
        <v>134</v>
      </c>
      <c r="F339" s="389">
        <f>'пр.6.1.ведом.22-23 (2)'!G899</f>
        <v>5707.199999999998</v>
      </c>
      <c r="G339" s="389">
        <f>'пр.6.1.ведом.22-23 (2)'!H899</f>
        <v>13555.550000000001</v>
      </c>
    </row>
    <row r="340" spans="1:7" ht="15.75" hidden="1" x14ac:dyDescent="0.25">
      <c r="A340" s="396" t="s">
        <v>135</v>
      </c>
      <c r="B340" s="392" t="s">
        <v>234</v>
      </c>
      <c r="C340" s="392" t="s">
        <v>213</v>
      </c>
      <c r="D340" s="392" t="s">
        <v>961</v>
      </c>
      <c r="E340" s="392" t="s">
        <v>145</v>
      </c>
      <c r="F340" s="389">
        <f>'[1]Пр.4 Рд,пр, ЦС,ВР 21'!F329</f>
        <v>0</v>
      </c>
      <c r="G340" s="389">
        <f t="shared" si="22"/>
        <v>0</v>
      </c>
    </row>
    <row r="341" spans="1:7" ht="15.75" hidden="1" x14ac:dyDescent="0.25">
      <c r="A341" s="396" t="s">
        <v>146</v>
      </c>
      <c r="B341" s="392" t="s">
        <v>234</v>
      </c>
      <c r="C341" s="392" t="s">
        <v>213</v>
      </c>
      <c r="D341" s="392" t="s">
        <v>961</v>
      </c>
      <c r="E341" s="392" t="s">
        <v>147</v>
      </c>
      <c r="F341" s="389">
        <f>'[1]Пр.4 Рд,пр, ЦС,ВР 21'!F330</f>
        <v>0</v>
      </c>
      <c r="G341" s="389">
        <f t="shared" si="22"/>
        <v>0</v>
      </c>
    </row>
    <row r="342" spans="1:7" ht="63" hidden="1" x14ac:dyDescent="0.25">
      <c r="A342" s="394" t="s">
        <v>1012</v>
      </c>
      <c r="B342" s="395" t="s">
        <v>234</v>
      </c>
      <c r="C342" s="395" t="s">
        <v>213</v>
      </c>
      <c r="D342" s="395" t="s">
        <v>979</v>
      </c>
      <c r="E342" s="395"/>
      <c r="F342" s="388">
        <f>F343+F348+F351+F356</f>
        <v>0</v>
      </c>
      <c r="G342" s="388">
        <f>G343+G348+G351+G356</f>
        <v>0</v>
      </c>
    </row>
    <row r="343" spans="1:7" ht="47.25" hidden="1" x14ac:dyDescent="0.25">
      <c r="A343" s="396" t="s">
        <v>826</v>
      </c>
      <c r="B343" s="392" t="s">
        <v>234</v>
      </c>
      <c r="C343" s="392" t="s">
        <v>213</v>
      </c>
      <c r="D343" s="392" t="s">
        <v>980</v>
      </c>
      <c r="E343" s="392"/>
      <c r="F343" s="389">
        <f>'[1]Пр.4 Рд,пр, ЦС,ВР 21'!F332</f>
        <v>0</v>
      </c>
      <c r="G343" s="389">
        <f t="shared" ref="G343:G387" si="27">F343</f>
        <v>0</v>
      </c>
    </row>
    <row r="344" spans="1:7" ht="31.5" hidden="1" x14ac:dyDescent="0.25">
      <c r="A344" s="396" t="s">
        <v>131</v>
      </c>
      <c r="B344" s="392" t="s">
        <v>234</v>
      </c>
      <c r="C344" s="392" t="s">
        <v>213</v>
      </c>
      <c r="D344" s="392" t="s">
        <v>980</v>
      </c>
      <c r="E344" s="392" t="s">
        <v>132</v>
      </c>
      <c r="F344" s="389">
        <f>'[1]Пр.4 Рд,пр, ЦС,ВР 21'!F333</f>
        <v>0</v>
      </c>
      <c r="G344" s="389">
        <f t="shared" si="27"/>
        <v>0</v>
      </c>
    </row>
    <row r="345" spans="1:7" ht="47.25" hidden="1" x14ac:dyDescent="0.25">
      <c r="A345" s="396" t="s">
        <v>133</v>
      </c>
      <c r="B345" s="392" t="s">
        <v>234</v>
      </c>
      <c r="C345" s="392" t="s">
        <v>213</v>
      </c>
      <c r="D345" s="392" t="s">
        <v>980</v>
      </c>
      <c r="E345" s="392" t="s">
        <v>134</v>
      </c>
      <c r="F345" s="389">
        <f>'[1]Пр.4 Рд,пр, ЦС,ВР 21'!F334</f>
        <v>0</v>
      </c>
      <c r="G345" s="389">
        <f t="shared" si="27"/>
        <v>0</v>
      </c>
    </row>
    <row r="346" spans="1:7" ht="15.75" hidden="1" x14ac:dyDescent="0.25">
      <c r="A346" s="396" t="s">
        <v>135</v>
      </c>
      <c r="B346" s="392" t="s">
        <v>234</v>
      </c>
      <c r="C346" s="392" t="s">
        <v>213</v>
      </c>
      <c r="D346" s="392" t="s">
        <v>980</v>
      </c>
      <c r="E346" s="392" t="s">
        <v>836</v>
      </c>
      <c r="F346" s="389">
        <f>'[1]Пр.4 Рд,пр, ЦС,ВР 21'!F335</f>
        <v>0</v>
      </c>
      <c r="G346" s="389">
        <f t="shared" si="27"/>
        <v>0</v>
      </c>
    </row>
    <row r="347" spans="1:7" ht="15.75" hidden="1" x14ac:dyDescent="0.25">
      <c r="A347" s="396" t="s">
        <v>568</v>
      </c>
      <c r="B347" s="392" t="s">
        <v>234</v>
      </c>
      <c r="C347" s="392" t="s">
        <v>213</v>
      </c>
      <c r="D347" s="392" t="s">
        <v>980</v>
      </c>
      <c r="E347" s="392" t="s">
        <v>1068</v>
      </c>
      <c r="F347" s="389">
        <f>'[1]Пр.4 Рд,пр, ЦС,ВР 21'!F336</f>
        <v>0</v>
      </c>
      <c r="G347" s="389">
        <f t="shared" si="27"/>
        <v>0</v>
      </c>
    </row>
    <row r="348" spans="1:7" ht="63" hidden="1" x14ac:dyDescent="0.25">
      <c r="A348" s="396" t="s">
        <v>793</v>
      </c>
      <c r="B348" s="392" t="s">
        <v>234</v>
      </c>
      <c r="C348" s="392" t="s">
        <v>213</v>
      </c>
      <c r="D348" s="392" t="s">
        <v>981</v>
      </c>
      <c r="E348" s="392"/>
      <c r="F348" s="389">
        <f>'[1]Пр.4 Рд,пр, ЦС,ВР 21'!F337</f>
        <v>0</v>
      </c>
      <c r="G348" s="389">
        <f t="shared" si="27"/>
        <v>0</v>
      </c>
    </row>
    <row r="349" spans="1:7" ht="31.5" hidden="1" x14ac:dyDescent="0.25">
      <c r="A349" s="396" t="s">
        <v>131</v>
      </c>
      <c r="B349" s="392" t="s">
        <v>234</v>
      </c>
      <c r="C349" s="392" t="s">
        <v>213</v>
      </c>
      <c r="D349" s="392" t="s">
        <v>981</v>
      </c>
      <c r="E349" s="392" t="s">
        <v>132</v>
      </c>
      <c r="F349" s="389">
        <f>'[1]Пр.4 Рд,пр, ЦС,ВР 21'!F338</f>
        <v>0</v>
      </c>
      <c r="G349" s="389">
        <f t="shared" si="27"/>
        <v>0</v>
      </c>
    </row>
    <row r="350" spans="1:7" ht="47.25" hidden="1" x14ac:dyDescent="0.25">
      <c r="A350" s="396" t="s">
        <v>133</v>
      </c>
      <c r="B350" s="392" t="s">
        <v>234</v>
      </c>
      <c r="C350" s="392" t="s">
        <v>213</v>
      </c>
      <c r="D350" s="392" t="s">
        <v>981</v>
      </c>
      <c r="E350" s="392" t="s">
        <v>134</v>
      </c>
      <c r="F350" s="389">
        <f>'[1]Пр.4 Рд,пр, ЦС,ВР 21'!F339</f>
        <v>0</v>
      </c>
      <c r="G350" s="389">
        <f t="shared" si="27"/>
        <v>0</v>
      </c>
    </row>
    <row r="351" spans="1:7" ht="47.25" hidden="1" x14ac:dyDescent="0.25">
      <c r="A351" s="97" t="s">
        <v>832</v>
      </c>
      <c r="B351" s="392" t="s">
        <v>234</v>
      </c>
      <c r="C351" s="392" t="s">
        <v>213</v>
      </c>
      <c r="D351" s="392" t="s">
        <v>982</v>
      </c>
      <c r="E351" s="392"/>
      <c r="F351" s="389">
        <f>'[1]Пр.4 Рд,пр, ЦС,ВР 21'!F340</f>
        <v>0</v>
      </c>
      <c r="G351" s="389">
        <f t="shared" si="27"/>
        <v>0</v>
      </c>
    </row>
    <row r="352" spans="1:7" ht="47.25" hidden="1" x14ac:dyDescent="0.25">
      <c r="A352" s="396" t="s">
        <v>837</v>
      </c>
      <c r="B352" s="392" t="s">
        <v>234</v>
      </c>
      <c r="C352" s="392" t="s">
        <v>213</v>
      </c>
      <c r="D352" s="392" t="s">
        <v>982</v>
      </c>
      <c r="E352" s="392" t="s">
        <v>836</v>
      </c>
      <c r="F352" s="389">
        <f>'[1]Пр.4 Рд,пр, ЦС,ВР 21'!F341</f>
        <v>0</v>
      </c>
      <c r="G352" s="389">
        <f t="shared" si="27"/>
        <v>0</v>
      </c>
    </row>
    <row r="353" spans="1:7" ht="63" hidden="1" x14ac:dyDescent="0.25">
      <c r="A353" s="396" t="s">
        <v>1049</v>
      </c>
      <c r="B353" s="392" t="s">
        <v>234</v>
      </c>
      <c r="C353" s="392" t="s">
        <v>213</v>
      </c>
      <c r="D353" s="392" t="s">
        <v>982</v>
      </c>
      <c r="E353" s="392" t="s">
        <v>1068</v>
      </c>
      <c r="F353" s="389">
        <f>'[1]Пр.4 Рд,пр, ЦС,ВР 21'!F342</f>
        <v>0</v>
      </c>
      <c r="G353" s="389">
        <f t="shared" si="27"/>
        <v>0</v>
      </c>
    </row>
    <row r="354" spans="1:7" ht="15.75" hidden="1" x14ac:dyDescent="0.25">
      <c r="A354" s="396" t="s">
        <v>135</v>
      </c>
      <c r="B354" s="392" t="s">
        <v>234</v>
      </c>
      <c r="C354" s="392" t="s">
        <v>213</v>
      </c>
      <c r="D354" s="392" t="s">
        <v>982</v>
      </c>
      <c r="E354" s="392" t="s">
        <v>145</v>
      </c>
      <c r="F354" s="389">
        <f>'[1]Пр.4 Рд,пр, ЦС,ВР 21'!F343</f>
        <v>0</v>
      </c>
      <c r="G354" s="389">
        <f t="shared" si="27"/>
        <v>0</v>
      </c>
    </row>
    <row r="355" spans="1:7" ht="15.75" hidden="1" x14ac:dyDescent="0.25">
      <c r="A355" s="396" t="s">
        <v>704</v>
      </c>
      <c r="B355" s="392" t="s">
        <v>234</v>
      </c>
      <c r="C355" s="392" t="s">
        <v>213</v>
      </c>
      <c r="D355" s="392" t="s">
        <v>982</v>
      </c>
      <c r="E355" s="392" t="s">
        <v>138</v>
      </c>
      <c r="F355" s="389">
        <f>'[1]Пр.4 Рд,пр, ЦС,ВР 21'!F344</f>
        <v>0</v>
      </c>
      <c r="G355" s="389">
        <f t="shared" si="27"/>
        <v>0</v>
      </c>
    </row>
    <row r="356" spans="1:7" ht="31.5" hidden="1" x14ac:dyDescent="0.25">
      <c r="A356" s="396" t="s">
        <v>1069</v>
      </c>
      <c r="B356" s="392" t="s">
        <v>234</v>
      </c>
      <c r="C356" s="392" t="s">
        <v>213</v>
      </c>
      <c r="D356" s="392" t="s">
        <v>1070</v>
      </c>
      <c r="E356" s="392"/>
      <c r="F356" s="389">
        <f>'[1]Пр.4 Рд,пр, ЦС,ВР 21'!F345</f>
        <v>0</v>
      </c>
      <c r="G356" s="389">
        <f t="shared" si="27"/>
        <v>0</v>
      </c>
    </row>
    <row r="357" spans="1:7" ht="31.5" hidden="1" x14ac:dyDescent="0.25">
      <c r="A357" s="396" t="s">
        <v>131</v>
      </c>
      <c r="B357" s="392" t="s">
        <v>234</v>
      </c>
      <c r="C357" s="392" t="s">
        <v>213</v>
      </c>
      <c r="D357" s="392" t="s">
        <v>1070</v>
      </c>
      <c r="E357" s="392" t="s">
        <v>132</v>
      </c>
      <c r="F357" s="389">
        <f>'[1]Пр.4 Рд,пр, ЦС,ВР 21'!F346</f>
        <v>0</v>
      </c>
      <c r="G357" s="389">
        <f t="shared" si="27"/>
        <v>0</v>
      </c>
    </row>
    <row r="358" spans="1:7" ht="47.25" hidden="1" x14ac:dyDescent="0.25">
      <c r="A358" s="396" t="s">
        <v>133</v>
      </c>
      <c r="B358" s="392" t="s">
        <v>234</v>
      </c>
      <c r="C358" s="392" t="s">
        <v>213</v>
      </c>
      <c r="D358" s="392" t="s">
        <v>1070</v>
      </c>
      <c r="E358" s="392" t="s">
        <v>134</v>
      </c>
      <c r="F358" s="389">
        <f>'[1]Пр.4 Рд,пр, ЦС,ВР 21'!F347</f>
        <v>0</v>
      </c>
      <c r="G358" s="389">
        <f t="shared" si="27"/>
        <v>0</v>
      </c>
    </row>
    <row r="359" spans="1:7" ht="63" x14ac:dyDescent="0.25">
      <c r="A359" s="394" t="s">
        <v>1510</v>
      </c>
      <c r="B359" s="395" t="s">
        <v>234</v>
      </c>
      <c r="C359" s="395" t="s">
        <v>213</v>
      </c>
      <c r="D359" s="395" t="s">
        <v>518</v>
      </c>
      <c r="E359" s="395"/>
      <c r="F359" s="388">
        <f>F360+F364+F368+F372+F376+F380+F384</f>
        <v>700</v>
      </c>
      <c r="G359" s="388">
        <f>G360+G364+G368+G372+G376+G380+G384</f>
        <v>700</v>
      </c>
    </row>
    <row r="360" spans="1:7" ht="31.5" x14ac:dyDescent="0.25">
      <c r="A360" s="394" t="s">
        <v>962</v>
      </c>
      <c r="B360" s="395" t="s">
        <v>234</v>
      </c>
      <c r="C360" s="395" t="s">
        <v>213</v>
      </c>
      <c r="D360" s="395" t="s">
        <v>964</v>
      </c>
      <c r="E360" s="395"/>
      <c r="F360" s="388">
        <f t="shared" ref="F360:G362" si="28">F361</f>
        <v>700</v>
      </c>
      <c r="G360" s="388">
        <f t="shared" si="28"/>
        <v>700</v>
      </c>
    </row>
    <row r="361" spans="1:7" ht="15.75" x14ac:dyDescent="0.25">
      <c r="A361" s="45" t="s">
        <v>963</v>
      </c>
      <c r="B361" s="399" t="s">
        <v>234</v>
      </c>
      <c r="C361" s="399" t="s">
        <v>213</v>
      </c>
      <c r="D361" s="392" t="s">
        <v>965</v>
      </c>
      <c r="E361" s="399"/>
      <c r="F361" s="389">
        <f t="shared" si="28"/>
        <v>700</v>
      </c>
      <c r="G361" s="389">
        <f t="shared" si="28"/>
        <v>700</v>
      </c>
    </row>
    <row r="362" spans="1:7" ht="31.5" x14ac:dyDescent="0.25">
      <c r="A362" s="31" t="s">
        <v>131</v>
      </c>
      <c r="B362" s="399" t="s">
        <v>234</v>
      </c>
      <c r="C362" s="399" t="s">
        <v>213</v>
      </c>
      <c r="D362" s="392" t="s">
        <v>965</v>
      </c>
      <c r="E362" s="399" t="s">
        <v>132</v>
      </c>
      <c r="F362" s="389">
        <f t="shared" si="28"/>
        <v>700</v>
      </c>
      <c r="G362" s="389">
        <f t="shared" si="28"/>
        <v>700</v>
      </c>
    </row>
    <row r="363" spans="1:7" ht="47.25" x14ac:dyDescent="0.25">
      <c r="A363" s="31" t="s">
        <v>133</v>
      </c>
      <c r="B363" s="399" t="s">
        <v>234</v>
      </c>
      <c r="C363" s="399" t="s">
        <v>213</v>
      </c>
      <c r="D363" s="392" t="s">
        <v>965</v>
      </c>
      <c r="E363" s="399" t="s">
        <v>134</v>
      </c>
      <c r="F363" s="389">
        <f>'пр.6.1.ведом.22-23 (2)'!G923</f>
        <v>700</v>
      </c>
      <c r="G363" s="389">
        <f>'пр.6.1.ведом.22-23 (2)'!H923</f>
        <v>700</v>
      </c>
    </row>
    <row r="364" spans="1:7" ht="31.5" hidden="1" x14ac:dyDescent="0.25">
      <c r="A364" s="34" t="s">
        <v>966</v>
      </c>
      <c r="B364" s="7" t="s">
        <v>234</v>
      </c>
      <c r="C364" s="7" t="s">
        <v>213</v>
      </c>
      <c r="D364" s="395" t="s">
        <v>967</v>
      </c>
      <c r="E364" s="7"/>
      <c r="F364" s="388">
        <f>F365</f>
        <v>0</v>
      </c>
      <c r="G364" s="388">
        <f>G365</f>
        <v>0</v>
      </c>
    </row>
    <row r="365" spans="1:7" ht="15.75" hidden="1" x14ac:dyDescent="0.25">
      <c r="A365" s="45" t="s">
        <v>523</v>
      </c>
      <c r="B365" s="399" t="s">
        <v>234</v>
      </c>
      <c r="C365" s="399" t="s">
        <v>213</v>
      </c>
      <c r="D365" s="392" t="s">
        <v>970</v>
      </c>
      <c r="E365" s="399"/>
      <c r="F365" s="389">
        <f>'[1]Пр.4 Рд,пр, ЦС,ВР 21'!F354</f>
        <v>0</v>
      </c>
      <c r="G365" s="389">
        <f t="shared" si="27"/>
        <v>0</v>
      </c>
    </row>
    <row r="366" spans="1:7" ht="31.5" hidden="1" x14ac:dyDescent="0.25">
      <c r="A366" s="31" t="s">
        <v>131</v>
      </c>
      <c r="B366" s="399" t="s">
        <v>234</v>
      </c>
      <c r="C366" s="399" t="s">
        <v>213</v>
      </c>
      <c r="D366" s="392" t="s">
        <v>970</v>
      </c>
      <c r="E366" s="399" t="s">
        <v>132</v>
      </c>
      <c r="F366" s="389">
        <f>'[1]Пр.4 Рд,пр, ЦС,ВР 21'!F355</f>
        <v>0</v>
      </c>
      <c r="G366" s="389">
        <f t="shared" si="27"/>
        <v>0</v>
      </c>
    </row>
    <row r="367" spans="1:7" ht="47.25" hidden="1" x14ac:dyDescent="0.25">
      <c r="A367" s="31" t="s">
        <v>133</v>
      </c>
      <c r="B367" s="399" t="s">
        <v>234</v>
      </c>
      <c r="C367" s="399" t="s">
        <v>213</v>
      </c>
      <c r="D367" s="392" t="s">
        <v>970</v>
      </c>
      <c r="E367" s="399" t="s">
        <v>134</v>
      </c>
      <c r="F367" s="389">
        <f>'[1]Пр.4 Рд,пр, ЦС,ВР 21'!F356</f>
        <v>0</v>
      </c>
      <c r="G367" s="389">
        <f t="shared" si="27"/>
        <v>0</v>
      </c>
    </row>
    <row r="368" spans="1:7" ht="31.5" hidden="1" x14ac:dyDescent="0.25">
      <c r="A368" s="58" t="s">
        <v>968</v>
      </c>
      <c r="B368" s="7" t="s">
        <v>234</v>
      </c>
      <c r="C368" s="7" t="s">
        <v>213</v>
      </c>
      <c r="D368" s="395" t="s">
        <v>969</v>
      </c>
      <c r="E368" s="7"/>
      <c r="F368" s="388">
        <f>F369</f>
        <v>0</v>
      </c>
      <c r="G368" s="388">
        <f>G369</f>
        <v>0</v>
      </c>
    </row>
    <row r="369" spans="1:7" ht="15.75" hidden="1" x14ac:dyDescent="0.25">
      <c r="A369" s="45" t="s">
        <v>525</v>
      </c>
      <c r="B369" s="399" t="s">
        <v>234</v>
      </c>
      <c r="C369" s="399" t="s">
        <v>213</v>
      </c>
      <c r="D369" s="392" t="s">
        <v>971</v>
      </c>
      <c r="E369" s="399"/>
      <c r="F369" s="389">
        <f>'[1]Пр.4 Рд,пр, ЦС,ВР 21'!F358</f>
        <v>0</v>
      </c>
      <c r="G369" s="389">
        <f t="shared" si="27"/>
        <v>0</v>
      </c>
    </row>
    <row r="370" spans="1:7" ht="31.5" hidden="1" x14ac:dyDescent="0.25">
      <c r="A370" s="31" t="s">
        <v>131</v>
      </c>
      <c r="B370" s="399" t="s">
        <v>234</v>
      </c>
      <c r="C370" s="399" t="s">
        <v>213</v>
      </c>
      <c r="D370" s="392" t="s">
        <v>971</v>
      </c>
      <c r="E370" s="399" t="s">
        <v>132</v>
      </c>
      <c r="F370" s="389">
        <f>'[1]Пр.4 Рд,пр, ЦС,ВР 21'!F359</f>
        <v>0</v>
      </c>
      <c r="G370" s="389">
        <f t="shared" si="27"/>
        <v>0</v>
      </c>
    </row>
    <row r="371" spans="1:7" ht="47.25" hidden="1" x14ac:dyDescent="0.25">
      <c r="A371" s="31" t="s">
        <v>133</v>
      </c>
      <c r="B371" s="399" t="s">
        <v>234</v>
      </c>
      <c r="C371" s="399" t="s">
        <v>213</v>
      </c>
      <c r="D371" s="392" t="s">
        <v>971</v>
      </c>
      <c r="E371" s="399" t="s">
        <v>134</v>
      </c>
      <c r="F371" s="389">
        <f>'[1]Пр.4 Рд,пр, ЦС,ВР 21'!F360</f>
        <v>0</v>
      </c>
      <c r="G371" s="389">
        <f t="shared" si="27"/>
        <v>0</v>
      </c>
    </row>
    <row r="372" spans="1:7" ht="31.5" hidden="1" x14ac:dyDescent="0.25">
      <c r="A372" s="58" t="s">
        <v>972</v>
      </c>
      <c r="B372" s="7" t="s">
        <v>234</v>
      </c>
      <c r="C372" s="7" t="s">
        <v>213</v>
      </c>
      <c r="D372" s="395" t="s">
        <v>973</v>
      </c>
      <c r="E372" s="7"/>
      <c r="F372" s="388">
        <f>F373</f>
        <v>0</v>
      </c>
      <c r="G372" s="388">
        <f>G373</f>
        <v>0</v>
      </c>
    </row>
    <row r="373" spans="1:7" ht="15.75" hidden="1" x14ac:dyDescent="0.25">
      <c r="A373" s="45" t="s">
        <v>527</v>
      </c>
      <c r="B373" s="399" t="s">
        <v>234</v>
      </c>
      <c r="C373" s="399" t="s">
        <v>213</v>
      </c>
      <c r="D373" s="392" t="s">
        <v>974</v>
      </c>
      <c r="E373" s="399"/>
      <c r="F373" s="389">
        <f>'[1]Пр.4 Рд,пр, ЦС,ВР 21'!F362</f>
        <v>0</v>
      </c>
      <c r="G373" s="389">
        <f t="shared" si="27"/>
        <v>0</v>
      </c>
    </row>
    <row r="374" spans="1:7" ht="31.5" hidden="1" x14ac:dyDescent="0.25">
      <c r="A374" s="31" t="s">
        <v>131</v>
      </c>
      <c r="B374" s="399" t="s">
        <v>234</v>
      </c>
      <c r="C374" s="399" t="s">
        <v>213</v>
      </c>
      <c r="D374" s="392" t="s">
        <v>974</v>
      </c>
      <c r="E374" s="399" t="s">
        <v>132</v>
      </c>
      <c r="F374" s="389">
        <f>'[1]Пр.4 Рд,пр, ЦС,ВР 21'!F363</f>
        <v>0</v>
      </c>
      <c r="G374" s="389">
        <f t="shared" si="27"/>
        <v>0</v>
      </c>
    </row>
    <row r="375" spans="1:7" ht="47.25" hidden="1" x14ac:dyDescent="0.25">
      <c r="A375" s="31" t="s">
        <v>133</v>
      </c>
      <c r="B375" s="399" t="s">
        <v>234</v>
      </c>
      <c r="C375" s="399" t="s">
        <v>213</v>
      </c>
      <c r="D375" s="392" t="s">
        <v>974</v>
      </c>
      <c r="E375" s="399" t="s">
        <v>134</v>
      </c>
      <c r="F375" s="389">
        <f>'[1]Пр.4 Рд,пр, ЦС,ВР 21'!F364</f>
        <v>0</v>
      </c>
      <c r="G375" s="389">
        <f t="shared" si="27"/>
        <v>0</v>
      </c>
    </row>
    <row r="376" spans="1:7" ht="31.5" hidden="1" x14ac:dyDescent="0.25">
      <c r="A376" s="34" t="s">
        <v>1013</v>
      </c>
      <c r="B376" s="7" t="s">
        <v>234</v>
      </c>
      <c r="C376" s="7" t="s">
        <v>213</v>
      </c>
      <c r="D376" s="395" t="s">
        <v>1014</v>
      </c>
      <c r="E376" s="7"/>
      <c r="F376" s="388">
        <f>F377</f>
        <v>0</v>
      </c>
      <c r="G376" s="388">
        <f>G377</f>
        <v>0</v>
      </c>
    </row>
    <row r="377" spans="1:7" ht="15.75" hidden="1" x14ac:dyDescent="0.25">
      <c r="A377" s="45" t="s">
        <v>529</v>
      </c>
      <c r="B377" s="399" t="s">
        <v>234</v>
      </c>
      <c r="C377" s="399" t="s">
        <v>213</v>
      </c>
      <c r="D377" s="392" t="s">
        <v>1017</v>
      </c>
      <c r="E377" s="399"/>
      <c r="F377" s="389">
        <f>'[1]Пр.4 Рд,пр, ЦС,ВР 21'!F366</f>
        <v>0</v>
      </c>
      <c r="G377" s="389">
        <f t="shared" si="27"/>
        <v>0</v>
      </c>
    </row>
    <row r="378" spans="1:7" ht="31.5" hidden="1" x14ac:dyDescent="0.25">
      <c r="A378" s="31" t="s">
        <v>131</v>
      </c>
      <c r="B378" s="399" t="s">
        <v>234</v>
      </c>
      <c r="C378" s="399" t="s">
        <v>213</v>
      </c>
      <c r="D378" s="392" t="s">
        <v>1017</v>
      </c>
      <c r="E378" s="399" t="s">
        <v>132</v>
      </c>
      <c r="F378" s="389">
        <f>'[1]Пр.4 Рд,пр, ЦС,ВР 21'!F367</f>
        <v>0</v>
      </c>
      <c r="G378" s="389">
        <f t="shared" si="27"/>
        <v>0</v>
      </c>
    </row>
    <row r="379" spans="1:7" ht="47.25" hidden="1" x14ac:dyDescent="0.25">
      <c r="A379" s="31" t="s">
        <v>133</v>
      </c>
      <c r="B379" s="399" t="s">
        <v>234</v>
      </c>
      <c r="C379" s="399" t="s">
        <v>213</v>
      </c>
      <c r="D379" s="392" t="s">
        <v>1017</v>
      </c>
      <c r="E379" s="399" t="s">
        <v>134</v>
      </c>
      <c r="F379" s="389">
        <f>'[1]Пр.4 Рд,пр, ЦС,ВР 21'!F368</f>
        <v>0</v>
      </c>
      <c r="G379" s="389">
        <f t="shared" si="27"/>
        <v>0</v>
      </c>
    </row>
    <row r="380" spans="1:7" ht="47.25" hidden="1" x14ac:dyDescent="0.25">
      <c r="A380" s="204" t="s">
        <v>1015</v>
      </c>
      <c r="B380" s="7" t="s">
        <v>234</v>
      </c>
      <c r="C380" s="7" t="s">
        <v>213</v>
      </c>
      <c r="D380" s="395" t="s">
        <v>1016</v>
      </c>
      <c r="E380" s="7"/>
      <c r="F380" s="388">
        <f>F381</f>
        <v>0</v>
      </c>
      <c r="G380" s="388">
        <f>G381</f>
        <v>0</v>
      </c>
    </row>
    <row r="381" spans="1:7" ht="31.5" hidden="1" x14ac:dyDescent="0.25">
      <c r="A381" s="172" t="s">
        <v>531</v>
      </c>
      <c r="B381" s="399" t="s">
        <v>234</v>
      </c>
      <c r="C381" s="399" t="s">
        <v>213</v>
      </c>
      <c r="D381" s="392" t="s">
        <v>1018</v>
      </c>
      <c r="E381" s="399"/>
      <c r="F381" s="389">
        <f>'[1]Пр.4 Рд,пр, ЦС,ВР 21'!F370</f>
        <v>0</v>
      </c>
      <c r="G381" s="389">
        <f t="shared" si="27"/>
        <v>0</v>
      </c>
    </row>
    <row r="382" spans="1:7" ht="31.5" hidden="1" x14ac:dyDescent="0.25">
      <c r="A382" s="31" t="s">
        <v>131</v>
      </c>
      <c r="B382" s="399" t="s">
        <v>234</v>
      </c>
      <c r="C382" s="399" t="s">
        <v>213</v>
      </c>
      <c r="D382" s="392" t="s">
        <v>1018</v>
      </c>
      <c r="E382" s="399" t="s">
        <v>132</v>
      </c>
      <c r="F382" s="389">
        <f>'[1]Пр.4 Рд,пр, ЦС,ВР 21'!F371</f>
        <v>0</v>
      </c>
      <c r="G382" s="389">
        <f t="shared" si="27"/>
        <v>0</v>
      </c>
    </row>
    <row r="383" spans="1:7" ht="47.25" hidden="1" x14ac:dyDescent="0.25">
      <c r="A383" s="31" t="s">
        <v>133</v>
      </c>
      <c r="B383" s="399" t="s">
        <v>234</v>
      </c>
      <c r="C383" s="399" t="s">
        <v>213</v>
      </c>
      <c r="D383" s="392" t="s">
        <v>1018</v>
      </c>
      <c r="E383" s="399" t="s">
        <v>134</v>
      </c>
      <c r="F383" s="389">
        <f>'[1]Пр.4 Рд,пр, ЦС,ВР 21'!F372</f>
        <v>0</v>
      </c>
      <c r="G383" s="389">
        <f t="shared" si="27"/>
        <v>0</v>
      </c>
    </row>
    <row r="384" spans="1:7" ht="31.5" hidden="1" x14ac:dyDescent="0.25">
      <c r="A384" s="204" t="s">
        <v>976</v>
      </c>
      <c r="B384" s="7" t="s">
        <v>234</v>
      </c>
      <c r="C384" s="7" t="s">
        <v>213</v>
      </c>
      <c r="D384" s="395" t="s">
        <v>977</v>
      </c>
      <c r="E384" s="7"/>
      <c r="F384" s="388">
        <f>F385</f>
        <v>0</v>
      </c>
      <c r="G384" s="388">
        <f>G385</f>
        <v>0</v>
      </c>
    </row>
    <row r="385" spans="1:9" ht="15.75" hidden="1" x14ac:dyDescent="0.25">
      <c r="A385" s="172" t="s">
        <v>533</v>
      </c>
      <c r="B385" s="399" t="s">
        <v>234</v>
      </c>
      <c r="C385" s="399" t="s">
        <v>213</v>
      </c>
      <c r="D385" s="392" t="s">
        <v>975</v>
      </c>
      <c r="E385" s="399"/>
      <c r="F385" s="389">
        <f>'[1]Пр.4 Рд,пр, ЦС,ВР 21'!F374</f>
        <v>0</v>
      </c>
      <c r="G385" s="389">
        <f t="shared" si="27"/>
        <v>0</v>
      </c>
    </row>
    <row r="386" spans="1:9" ht="31.5" hidden="1" x14ac:dyDescent="0.25">
      <c r="A386" s="396" t="s">
        <v>131</v>
      </c>
      <c r="B386" s="399" t="s">
        <v>234</v>
      </c>
      <c r="C386" s="399" t="s">
        <v>213</v>
      </c>
      <c r="D386" s="392" t="s">
        <v>975</v>
      </c>
      <c r="E386" s="399" t="s">
        <v>132</v>
      </c>
      <c r="F386" s="389">
        <f>'[1]Пр.4 Рд,пр, ЦС,ВР 21'!F375</f>
        <v>0</v>
      </c>
      <c r="G386" s="389">
        <f t="shared" si="27"/>
        <v>0</v>
      </c>
    </row>
    <row r="387" spans="1:9" ht="47.25" hidden="1" x14ac:dyDescent="0.25">
      <c r="A387" s="396" t="s">
        <v>133</v>
      </c>
      <c r="B387" s="399" t="s">
        <v>234</v>
      </c>
      <c r="C387" s="399" t="s">
        <v>213</v>
      </c>
      <c r="D387" s="392" t="s">
        <v>975</v>
      </c>
      <c r="E387" s="399" t="s">
        <v>134</v>
      </c>
      <c r="F387" s="389">
        <f>'[1]Пр.4 Рд,пр, ЦС,ВР 21'!F376</f>
        <v>0</v>
      </c>
      <c r="G387" s="389">
        <f t="shared" si="27"/>
        <v>0</v>
      </c>
    </row>
    <row r="388" spans="1:9" ht="47.25" x14ac:dyDescent="0.25">
      <c r="A388" s="394" t="s">
        <v>1511</v>
      </c>
      <c r="B388" s="7" t="s">
        <v>234</v>
      </c>
      <c r="C388" s="7" t="s">
        <v>213</v>
      </c>
      <c r="D388" s="395" t="s">
        <v>1139</v>
      </c>
      <c r="E388" s="7"/>
      <c r="F388" s="388">
        <f t="shared" ref="F388:G391" si="29">F389</f>
        <v>204</v>
      </c>
      <c r="G388" s="388">
        <f t="shared" si="29"/>
        <v>215</v>
      </c>
    </row>
    <row r="389" spans="1:9" ht="31.5" x14ac:dyDescent="0.25">
      <c r="A389" s="394" t="s">
        <v>1515</v>
      </c>
      <c r="B389" s="7" t="s">
        <v>234</v>
      </c>
      <c r="C389" s="7" t="s">
        <v>213</v>
      </c>
      <c r="D389" s="395" t="s">
        <v>1141</v>
      </c>
      <c r="E389" s="7"/>
      <c r="F389" s="388">
        <f t="shared" si="29"/>
        <v>204</v>
      </c>
      <c r="G389" s="388">
        <f t="shared" si="29"/>
        <v>215</v>
      </c>
    </row>
    <row r="390" spans="1:9" ht="31.5" x14ac:dyDescent="0.25">
      <c r="A390" s="396" t="s">
        <v>537</v>
      </c>
      <c r="B390" s="399" t="s">
        <v>234</v>
      </c>
      <c r="C390" s="399" t="s">
        <v>213</v>
      </c>
      <c r="D390" s="392" t="s">
        <v>1142</v>
      </c>
      <c r="E390" s="399"/>
      <c r="F390" s="389">
        <f t="shared" si="29"/>
        <v>204</v>
      </c>
      <c r="G390" s="389">
        <f t="shared" si="29"/>
        <v>215</v>
      </c>
    </row>
    <row r="391" spans="1:9" ht="31.5" x14ac:dyDescent="0.25">
      <c r="A391" s="396" t="s">
        <v>131</v>
      </c>
      <c r="B391" s="399" t="s">
        <v>234</v>
      </c>
      <c r="C391" s="399" t="s">
        <v>213</v>
      </c>
      <c r="D391" s="392" t="s">
        <v>1142</v>
      </c>
      <c r="E391" s="399" t="s">
        <v>132</v>
      </c>
      <c r="F391" s="389">
        <f t="shared" si="29"/>
        <v>204</v>
      </c>
      <c r="G391" s="389">
        <f t="shared" si="29"/>
        <v>215</v>
      </c>
    </row>
    <row r="392" spans="1:9" ht="47.25" x14ac:dyDescent="0.25">
      <c r="A392" s="396" t="s">
        <v>133</v>
      </c>
      <c r="B392" s="399" t="s">
        <v>234</v>
      </c>
      <c r="C392" s="399" t="s">
        <v>213</v>
      </c>
      <c r="D392" s="392" t="s">
        <v>1142</v>
      </c>
      <c r="E392" s="399" t="s">
        <v>134</v>
      </c>
      <c r="F392" s="389">
        <f>'пр.6.1.ведом.22-23 (2)'!G952</f>
        <v>204</v>
      </c>
      <c r="G392" s="389">
        <f>'пр.6.1.ведом.22-23 (2)'!H952</f>
        <v>215</v>
      </c>
    </row>
    <row r="393" spans="1:9" ht="15.75" x14ac:dyDescent="0.25">
      <c r="A393" s="400" t="s">
        <v>541</v>
      </c>
      <c r="B393" s="7" t="s">
        <v>234</v>
      </c>
      <c r="C393" s="7" t="s">
        <v>215</v>
      </c>
      <c r="D393" s="7"/>
      <c r="E393" s="7"/>
      <c r="F393" s="388">
        <f>F394+F399+F438</f>
        <v>3810</v>
      </c>
      <c r="G393" s="388">
        <f>G394+G399+G438</f>
        <v>4063</v>
      </c>
    </row>
    <row r="394" spans="1:9" ht="15.75" x14ac:dyDescent="0.25">
      <c r="A394" s="394" t="s">
        <v>141</v>
      </c>
      <c r="B394" s="395" t="s">
        <v>234</v>
      </c>
      <c r="C394" s="395" t="s">
        <v>215</v>
      </c>
      <c r="D394" s="395" t="s">
        <v>865</v>
      </c>
      <c r="E394" s="395"/>
      <c r="F394" s="388">
        <f t="shared" ref="F394:G397" si="30">F395</f>
        <v>1390</v>
      </c>
      <c r="G394" s="388">
        <f t="shared" si="30"/>
        <v>1390</v>
      </c>
    </row>
    <row r="395" spans="1:9" ht="31.5" x14ac:dyDescent="0.25">
      <c r="A395" s="394" t="s">
        <v>869</v>
      </c>
      <c r="B395" s="395" t="s">
        <v>234</v>
      </c>
      <c r="C395" s="395" t="s">
        <v>215</v>
      </c>
      <c r="D395" s="395" t="s">
        <v>864</v>
      </c>
      <c r="E395" s="395"/>
      <c r="F395" s="388">
        <f t="shared" si="30"/>
        <v>1390</v>
      </c>
      <c r="G395" s="388">
        <f t="shared" si="30"/>
        <v>1390</v>
      </c>
    </row>
    <row r="396" spans="1:9" ht="15.75" x14ac:dyDescent="0.25">
      <c r="A396" s="396" t="s">
        <v>564</v>
      </c>
      <c r="B396" s="392" t="s">
        <v>234</v>
      </c>
      <c r="C396" s="392" t="s">
        <v>215</v>
      </c>
      <c r="D396" s="392" t="s">
        <v>1075</v>
      </c>
      <c r="E396" s="392"/>
      <c r="F396" s="389">
        <f t="shared" si="30"/>
        <v>1390</v>
      </c>
      <c r="G396" s="389">
        <f t="shared" si="30"/>
        <v>1390</v>
      </c>
    </row>
    <row r="397" spans="1:9" ht="31.5" x14ac:dyDescent="0.25">
      <c r="A397" s="396" t="s">
        <v>131</v>
      </c>
      <c r="B397" s="392" t="s">
        <v>234</v>
      </c>
      <c r="C397" s="392" t="s">
        <v>215</v>
      </c>
      <c r="D397" s="392" t="s">
        <v>1075</v>
      </c>
      <c r="E397" s="392" t="s">
        <v>132</v>
      </c>
      <c r="F397" s="389">
        <f t="shared" si="30"/>
        <v>1390</v>
      </c>
      <c r="G397" s="389">
        <f t="shared" si="30"/>
        <v>1390</v>
      </c>
    </row>
    <row r="398" spans="1:9" ht="47.25" x14ac:dyDescent="0.25">
      <c r="A398" s="396" t="s">
        <v>133</v>
      </c>
      <c r="B398" s="392" t="s">
        <v>234</v>
      </c>
      <c r="C398" s="392" t="s">
        <v>215</v>
      </c>
      <c r="D398" s="392" t="s">
        <v>1075</v>
      </c>
      <c r="E398" s="392" t="s">
        <v>134</v>
      </c>
      <c r="F398" s="389">
        <f>'пр.6.1.ведом.22-23 (2)'!G958</f>
        <v>1390</v>
      </c>
      <c r="G398" s="389">
        <f>'пр.6.1.ведом.22-23 (2)'!H958</f>
        <v>1390</v>
      </c>
    </row>
    <row r="399" spans="1:9" ht="47.25" x14ac:dyDescent="0.25">
      <c r="A399" s="394" t="s">
        <v>1361</v>
      </c>
      <c r="B399" s="7" t="s">
        <v>234</v>
      </c>
      <c r="C399" s="7" t="s">
        <v>215</v>
      </c>
      <c r="D399" s="7" t="s">
        <v>543</v>
      </c>
      <c r="E399" s="7"/>
      <c r="F399" s="388">
        <f>F400+F404+F431</f>
        <v>1920</v>
      </c>
      <c r="G399" s="388">
        <f>G400+G404+G431</f>
        <v>2173</v>
      </c>
      <c r="I399" s="22"/>
    </row>
    <row r="400" spans="1:9" ht="47.25" hidden="1" x14ac:dyDescent="0.25">
      <c r="A400" s="394" t="s">
        <v>1428</v>
      </c>
      <c r="B400" s="395" t="s">
        <v>234</v>
      </c>
      <c r="C400" s="395" t="s">
        <v>215</v>
      </c>
      <c r="D400" s="395" t="s">
        <v>1271</v>
      </c>
      <c r="E400" s="395"/>
      <c r="F400" s="388">
        <f t="shared" ref="F400:G402" si="31">F401</f>
        <v>0</v>
      </c>
      <c r="G400" s="388">
        <f t="shared" si="31"/>
        <v>0</v>
      </c>
    </row>
    <row r="401" spans="1:7" ht="31.5" hidden="1" x14ac:dyDescent="0.25">
      <c r="A401" s="289" t="s">
        <v>1429</v>
      </c>
      <c r="B401" s="392" t="s">
        <v>234</v>
      </c>
      <c r="C401" s="392" t="s">
        <v>215</v>
      </c>
      <c r="D401" s="392" t="s">
        <v>1418</v>
      </c>
      <c r="E401" s="392"/>
      <c r="F401" s="397">
        <f t="shared" si="31"/>
        <v>0</v>
      </c>
      <c r="G401" s="389">
        <f t="shared" si="31"/>
        <v>0</v>
      </c>
    </row>
    <row r="402" spans="1:7" ht="31.5" hidden="1" x14ac:dyDescent="0.25">
      <c r="A402" s="396" t="s">
        <v>131</v>
      </c>
      <c r="B402" s="392" t="s">
        <v>234</v>
      </c>
      <c r="C402" s="392" t="s">
        <v>215</v>
      </c>
      <c r="D402" s="392" t="s">
        <v>1418</v>
      </c>
      <c r="E402" s="392" t="s">
        <v>132</v>
      </c>
      <c r="F402" s="397">
        <f t="shared" si="31"/>
        <v>0</v>
      </c>
      <c r="G402" s="389">
        <f t="shared" si="31"/>
        <v>0</v>
      </c>
    </row>
    <row r="403" spans="1:7" ht="47.25" hidden="1" x14ac:dyDescent="0.25">
      <c r="A403" s="396" t="s">
        <v>133</v>
      </c>
      <c r="B403" s="392" t="s">
        <v>234</v>
      </c>
      <c r="C403" s="392" t="s">
        <v>215</v>
      </c>
      <c r="D403" s="392" t="s">
        <v>1418</v>
      </c>
      <c r="E403" s="392" t="s">
        <v>134</v>
      </c>
      <c r="F403" s="397">
        <f>'пр.6.1.ведом.22-23 (2)'!G963</f>
        <v>0</v>
      </c>
      <c r="G403" s="389">
        <f>'пр.6.1.ведом.22-23 (2)'!H963</f>
        <v>0</v>
      </c>
    </row>
    <row r="404" spans="1:7" ht="47.25" x14ac:dyDescent="0.25">
      <c r="A404" s="394" t="s">
        <v>1431</v>
      </c>
      <c r="B404" s="395" t="s">
        <v>234</v>
      </c>
      <c r="C404" s="395" t="s">
        <v>215</v>
      </c>
      <c r="D404" s="395" t="s">
        <v>1272</v>
      </c>
      <c r="E404" s="395"/>
      <c r="F404" s="388">
        <f>F405+F408+F414+F417+F420+F425+F428</f>
        <v>1920</v>
      </c>
      <c r="G404" s="388">
        <f>G405+G408+G414+G417+G420+G425+G428</f>
        <v>2173</v>
      </c>
    </row>
    <row r="405" spans="1:7" ht="24.4" customHeight="1" x14ac:dyDescent="0.25">
      <c r="A405" s="396" t="s">
        <v>546</v>
      </c>
      <c r="B405" s="392" t="s">
        <v>234</v>
      </c>
      <c r="C405" s="392" t="s">
        <v>215</v>
      </c>
      <c r="D405" s="392" t="s">
        <v>1427</v>
      </c>
      <c r="E405" s="392"/>
      <c r="F405" s="389">
        <f>F406</f>
        <v>365</v>
      </c>
      <c r="G405" s="389">
        <f>G406</f>
        <v>365</v>
      </c>
    </row>
    <row r="406" spans="1:7" ht="31.5" x14ac:dyDescent="0.25">
      <c r="A406" s="396" t="s">
        <v>131</v>
      </c>
      <c r="B406" s="392" t="s">
        <v>234</v>
      </c>
      <c r="C406" s="392" t="s">
        <v>215</v>
      </c>
      <c r="D406" s="392" t="s">
        <v>1427</v>
      </c>
      <c r="E406" s="392" t="s">
        <v>132</v>
      </c>
      <c r="F406" s="389">
        <f>F407</f>
        <v>365</v>
      </c>
      <c r="G406" s="389">
        <f>G407</f>
        <v>365</v>
      </c>
    </row>
    <row r="407" spans="1:7" ht="47.25" x14ac:dyDescent="0.25">
      <c r="A407" s="396" t="s">
        <v>133</v>
      </c>
      <c r="B407" s="392" t="s">
        <v>234</v>
      </c>
      <c r="C407" s="392" t="s">
        <v>215</v>
      </c>
      <c r="D407" s="392" t="s">
        <v>1427</v>
      </c>
      <c r="E407" s="392" t="s">
        <v>134</v>
      </c>
      <c r="F407" s="389">
        <f>'пр.6.1.ведом.22-23 (2)'!G967</f>
        <v>365</v>
      </c>
      <c r="G407" s="389">
        <f>'пр.6.1.ведом.22-23 (2)'!H967</f>
        <v>365</v>
      </c>
    </row>
    <row r="408" spans="1:7" ht="15.75" x14ac:dyDescent="0.25">
      <c r="A408" s="396" t="s">
        <v>548</v>
      </c>
      <c r="B408" s="392" t="s">
        <v>234</v>
      </c>
      <c r="C408" s="392" t="s">
        <v>215</v>
      </c>
      <c r="D408" s="392" t="s">
        <v>1417</v>
      </c>
      <c r="E408" s="392"/>
      <c r="F408" s="389">
        <f>F409</f>
        <v>1080</v>
      </c>
      <c r="G408" s="389">
        <f>G409</f>
        <v>1188</v>
      </c>
    </row>
    <row r="409" spans="1:7" ht="31.5" x14ac:dyDescent="0.25">
      <c r="A409" s="396" t="s">
        <v>131</v>
      </c>
      <c r="B409" s="392" t="s">
        <v>234</v>
      </c>
      <c r="C409" s="392" t="s">
        <v>215</v>
      </c>
      <c r="D409" s="392" t="s">
        <v>1417</v>
      </c>
      <c r="E409" s="392" t="s">
        <v>132</v>
      </c>
      <c r="F409" s="389">
        <f>F410</f>
        <v>1080</v>
      </c>
      <c r="G409" s="389">
        <f>G410</f>
        <v>1188</v>
      </c>
    </row>
    <row r="410" spans="1:7" ht="47.25" x14ac:dyDescent="0.25">
      <c r="A410" s="396" t="s">
        <v>133</v>
      </c>
      <c r="B410" s="392" t="s">
        <v>234</v>
      </c>
      <c r="C410" s="392" t="s">
        <v>215</v>
      </c>
      <c r="D410" s="392" t="s">
        <v>1417</v>
      </c>
      <c r="E410" s="392" t="s">
        <v>134</v>
      </c>
      <c r="F410" s="389">
        <f>'пр.6.1.ведом.22-23 (2)'!G970</f>
        <v>1080</v>
      </c>
      <c r="G410" s="389">
        <f>'пр.6.1.ведом.22-23 (2)'!H970</f>
        <v>1188</v>
      </c>
    </row>
    <row r="411" spans="1:7" ht="15.75" hidden="1" x14ac:dyDescent="0.25">
      <c r="A411" s="29" t="s">
        <v>135</v>
      </c>
      <c r="B411" s="392" t="s">
        <v>234</v>
      </c>
      <c r="C411" s="392" t="s">
        <v>215</v>
      </c>
      <c r="D411" s="392" t="s">
        <v>1417</v>
      </c>
      <c r="E411" s="392" t="s">
        <v>145</v>
      </c>
      <c r="F411" s="389">
        <f>'[1]Пр.4 Рд,пр, ЦС,ВР 21'!F400</f>
        <v>0</v>
      </c>
      <c r="G411" s="389">
        <f>'[1]Пр.4 Рд,пр, ЦС,ВР 21'!G400</f>
        <v>0</v>
      </c>
    </row>
    <row r="412" spans="1:7" ht="47.25" hidden="1" x14ac:dyDescent="0.25">
      <c r="A412" s="396" t="s">
        <v>835</v>
      </c>
      <c r="B412" s="392" t="s">
        <v>234</v>
      </c>
      <c r="C412" s="392" t="s">
        <v>215</v>
      </c>
      <c r="D412" s="392" t="s">
        <v>1417</v>
      </c>
      <c r="E412" s="392" t="s">
        <v>147</v>
      </c>
      <c r="F412" s="389">
        <f>'[1]Пр.4 Рд,пр, ЦС,ВР 21'!F401</f>
        <v>0</v>
      </c>
      <c r="G412" s="389">
        <f>'[1]Пр.4 Рд,пр, ЦС,ВР 21'!G401</f>
        <v>0</v>
      </c>
    </row>
    <row r="413" spans="1:7" ht="15.75" hidden="1" x14ac:dyDescent="0.25">
      <c r="A413" s="29" t="s">
        <v>568</v>
      </c>
      <c r="B413" s="392" t="s">
        <v>234</v>
      </c>
      <c r="C413" s="392" t="s">
        <v>215</v>
      </c>
      <c r="D413" s="392" t="s">
        <v>1417</v>
      </c>
      <c r="E413" s="392" t="s">
        <v>138</v>
      </c>
      <c r="F413" s="389">
        <f>'[1]Пр.4 Рд,пр, ЦС,ВР 21'!F402</f>
        <v>0</v>
      </c>
      <c r="G413" s="389">
        <f>'[1]Пр.4 Рд,пр, ЦС,ВР 21'!G402</f>
        <v>0</v>
      </c>
    </row>
    <row r="414" spans="1:7" ht="15.75" hidden="1" x14ac:dyDescent="0.25">
      <c r="A414" s="396" t="s">
        <v>550</v>
      </c>
      <c r="B414" s="392" t="s">
        <v>234</v>
      </c>
      <c r="C414" s="392" t="s">
        <v>215</v>
      </c>
      <c r="D414" s="392" t="s">
        <v>1296</v>
      </c>
      <c r="E414" s="392"/>
      <c r="F414" s="389">
        <f>F415</f>
        <v>0</v>
      </c>
      <c r="G414" s="389">
        <f>G415</f>
        <v>0</v>
      </c>
    </row>
    <row r="415" spans="1:7" ht="31.5" hidden="1" x14ac:dyDescent="0.25">
      <c r="A415" s="396" t="s">
        <v>131</v>
      </c>
      <c r="B415" s="392" t="s">
        <v>234</v>
      </c>
      <c r="C415" s="392" t="s">
        <v>215</v>
      </c>
      <c r="D415" s="392" t="s">
        <v>1296</v>
      </c>
      <c r="E415" s="392" t="s">
        <v>132</v>
      </c>
      <c r="F415" s="389">
        <f>F416</f>
        <v>0</v>
      </c>
      <c r="G415" s="389">
        <f>G416</f>
        <v>0</v>
      </c>
    </row>
    <row r="416" spans="1:7" ht="47.25" hidden="1" x14ac:dyDescent="0.25">
      <c r="A416" s="396" t="s">
        <v>133</v>
      </c>
      <c r="B416" s="392" t="s">
        <v>234</v>
      </c>
      <c r="C416" s="392" t="s">
        <v>215</v>
      </c>
      <c r="D416" s="392" t="s">
        <v>1296</v>
      </c>
      <c r="E416" s="392" t="s">
        <v>134</v>
      </c>
      <c r="F416" s="389">
        <f>'пр.6.1.ведом.22-23 (2)'!G976</f>
        <v>0</v>
      </c>
      <c r="G416" s="389">
        <f>'пр.6.1.ведом.22-23 (2)'!H976</f>
        <v>0</v>
      </c>
    </row>
    <row r="417" spans="1:7" ht="15.75" x14ac:dyDescent="0.25">
      <c r="A417" s="396" t="s">
        <v>555</v>
      </c>
      <c r="B417" s="392" t="s">
        <v>234</v>
      </c>
      <c r="C417" s="392" t="s">
        <v>215</v>
      </c>
      <c r="D417" s="392" t="s">
        <v>1273</v>
      </c>
      <c r="E417" s="392"/>
      <c r="F417" s="389">
        <f>F418</f>
        <v>50</v>
      </c>
      <c r="G417" s="389">
        <f>G418</f>
        <v>55</v>
      </c>
    </row>
    <row r="418" spans="1:7" ht="31.5" x14ac:dyDescent="0.25">
      <c r="A418" s="396" t="s">
        <v>131</v>
      </c>
      <c r="B418" s="392" t="s">
        <v>234</v>
      </c>
      <c r="C418" s="392" t="s">
        <v>215</v>
      </c>
      <c r="D418" s="392" t="s">
        <v>1273</v>
      </c>
      <c r="E418" s="392" t="s">
        <v>132</v>
      </c>
      <c r="F418" s="389">
        <f>F419</f>
        <v>50</v>
      </c>
      <c r="G418" s="389">
        <f>G419</f>
        <v>55</v>
      </c>
    </row>
    <row r="419" spans="1:7" ht="47.25" x14ac:dyDescent="0.25">
      <c r="A419" s="396" t="s">
        <v>133</v>
      </c>
      <c r="B419" s="392" t="s">
        <v>234</v>
      </c>
      <c r="C419" s="392" t="s">
        <v>215</v>
      </c>
      <c r="D419" s="392" t="s">
        <v>1273</v>
      </c>
      <c r="E419" s="392" t="s">
        <v>134</v>
      </c>
      <c r="F419" s="389">
        <f>'пр.6.1.ведом.22-23 (2)'!G979</f>
        <v>50</v>
      </c>
      <c r="G419" s="389">
        <f>'пр.6.1.ведом.22-23 (2)'!H979</f>
        <v>55</v>
      </c>
    </row>
    <row r="420" spans="1:7" ht="31.5" x14ac:dyDescent="0.25">
      <c r="A420" s="287" t="s">
        <v>1430</v>
      </c>
      <c r="B420" s="392" t="s">
        <v>234</v>
      </c>
      <c r="C420" s="392" t="s">
        <v>215</v>
      </c>
      <c r="D420" s="392" t="s">
        <v>1274</v>
      </c>
      <c r="E420" s="392"/>
      <c r="F420" s="389">
        <f>F421+F423</f>
        <v>375</v>
      </c>
      <c r="G420" s="389">
        <f>G421+G423</f>
        <v>375</v>
      </c>
    </row>
    <row r="421" spans="1:7" ht="31.5" x14ac:dyDescent="0.25">
      <c r="A421" s="396" t="s">
        <v>131</v>
      </c>
      <c r="B421" s="392" t="s">
        <v>234</v>
      </c>
      <c r="C421" s="392" t="s">
        <v>215</v>
      </c>
      <c r="D421" s="392" t="s">
        <v>1274</v>
      </c>
      <c r="E421" s="392" t="s">
        <v>132</v>
      </c>
      <c r="F421" s="389">
        <f>F422</f>
        <v>300</v>
      </c>
      <c r="G421" s="389">
        <f>G422</f>
        <v>300</v>
      </c>
    </row>
    <row r="422" spans="1:7" ht="47.25" x14ac:dyDescent="0.25">
      <c r="A422" s="396" t="s">
        <v>133</v>
      </c>
      <c r="B422" s="392" t="s">
        <v>234</v>
      </c>
      <c r="C422" s="392" t="s">
        <v>215</v>
      </c>
      <c r="D422" s="392" t="s">
        <v>1274</v>
      </c>
      <c r="E422" s="392" t="s">
        <v>134</v>
      </c>
      <c r="F422" s="389">
        <f>'пр.6.1.ведом.22-23 (2)'!G982</f>
        <v>300</v>
      </c>
      <c r="G422" s="389">
        <f>'пр.6.1.ведом.22-23 (2)'!H982</f>
        <v>300</v>
      </c>
    </row>
    <row r="423" spans="1:7" ht="15.75" x14ac:dyDescent="0.25">
      <c r="A423" s="29" t="s">
        <v>135</v>
      </c>
      <c r="B423" s="392" t="s">
        <v>234</v>
      </c>
      <c r="C423" s="392" t="s">
        <v>215</v>
      </c>
      <c r="D423" s="392" t="s">
        <v>1274</v>
      </c>
      <c r="E423" s="392" t="s">
        <v>145</v>
      </c>
      <c r="F423" s="389">
        <f>F424</f>
        <v>75</v>
      </c>
      <c r="G423" s="389">
        <f>G424</f>
        <v>75</v>
      </c>
    </row>
    <row r="424" spans="1:7" ht="20.25" customHeight="1" x14ac:dyDescent="0.25">
      <c r="A424" s="29" t="s">
        <v>568</v>
      </c>
      <c r="B424" s="392" t="s">
        <v>234</v>
      </c>
      <c r="C424" s="392" t="s">
        <v>215</v>
      </c>
      <c r="D424" s="392" t="s">
        <v>1274</v>
      </c>
      <c r="E424" s="392" t="s">
        <v>138</v>
      </c>
      <c r="F424" s="389">
        <f>'пр.6.1.ведом.22-23 (2)'!G984</f>
        <v>75</v>
      </c>
      <c r="G424" s="389">
        <f>'пр.6.1.ведом.22-23 (2)'!H984</f>
        <v>75</v>
      </c>
    </row>
    <row r="425" spans="1:7" ht="19.149999999999999" hidden="1" customHeight="1" x14ac:dyDescent="0.25">
      <c r="A425" s="98" t="s">
        <v>559</v>
      </c>
      <c r="B425" s="392" t="s">
        <v>234</v>
      </c>
      <c r="C425" s="392" t="s">
        <v>215</v>
      </c>
      <c r="D425" s="392" t="s">
        <v>1275</v>
      </c>
      <c r="E425" s="392"/>
      <c r="F425" s="389">
        <f>F426</f>
        <v>0</v>
      </c>
      <c r="G425" s="389">
        <f>G426</f>
        <v>130</v>
      </c>
    </row>
    <row r="426" spans="1:7" ht="31.5" hidden="1" x14ac:dyDescent="0.25">
      <c r="A426" s="396" t="s">
        <v>131</v>
      </c>
      <c r="B426" s="392" t="s">
        <v>234</v>
      </c>
      <c r="C426" s="392" t="s">
        <v>215</v>
      </c>
      <c r="D426" s="392" t="s">
        <v>1275</v>
      </c>
      <c r="E426" s="392" t="s">
        <v>132</v>
      </c>
      <c r="F426" s="389">
        <f>F427</f>
        <v>0</v>
      </c>
      <c r="G426" s="389">
        <f>G427</f>
        <v>130</v>
      </c>
    </row>
    <row r="427" spans="1:7" ht="47.25" hidden="1" x14ac:dyDescent="0.25">
      <c r="A427" s="396" t="s">
        <v>133</v>
      </c>
      <c r="B427" s="392" t="s">
        <v>234</v>
      </c>
      <c r="C427" s="392" t="s">
        <v>215</v>
      </c>
      <c r="D427" s="392" t="s">
        <v>1275</v>
      </c>
      <c r="E427" s="392" t="s">
        <v>134</v>
      </c>
      <c r="F427" s="389">
        <f>'пр.6.1.ведом.22-23 (2)'!G987</f>
        <v>0</v>
      </c>
      <c r="G427" s="389">
        <f>'пр.6.1.ведом.22-23 (2)'!H987</f>
        <v>130</v>
      </c>
    </row>
    <row r="428" spans="1:7" ht="31.5" x14ac:dyDescent="0.25">
      <c r="A428" s="213" t="s">
        <v>1089</v>
      </c>
      <c r="B428" s="392" t="s">
        <v>234</v>
      </c>
      <c r="C428" s="392" t="s">
        <v>215</v>
      </c>
      <c r="D428" s="392" t="s">
        <v>1276</v>
      </c>
      <c r="E428" s="392"/>
      <c r="F428" s="397">
        <f>F429</f>
        <v>50</v>
      </c>
      <c r="G428" s="397">
        <f>G429</f>
        <v>60</v>
      </c>
    </row>
    <row r="429" spans="1:7" ht="31.5" x14ac:dyDescent="0.25">
      <c r="A429" s="396" t="s">
        <v>131</v>
      </c>
      <c r="B429" s="392" t="s">
        <v>234</v>
      </c>
      <c r="C429" s="392" t="s">
        <v>215</v>
      </c>
      <c r="D429" s="392" t="s">
        <v>1276</v>
      </c>
      <c r="E429" s="392" t="s">
        <v>132</v>
      </c>
      <c r="F429" s="397">
        <f>F430</f>
        <v>50</v>
      </c>
      <c r="G429" s="397">
        <f>G430</f>
        <v>60</v>
      </c>
    </row>
    <row r="430" spans="1:7" ht="47.25" x14ac:dyDescent="0.25">
      <c r="A430" s="396" t="s">
        <v>133</v>
      </c>
      <c r="B430" s="392" t="s">
        <v>234</v>
      </c>
      <c r="C430" s="392" t="s">
        <v>215</v>
      </c>
      <c r="D430" s="392" t="s">
        <v>1276</v>
      </c>
      <c r="E430" s="392" t="s">
        <v>134</v>
      </c>
      <c r="F430" s="397">
        <f>'пр.6.1.ведом.22-23 (2)'!G990</f>
        <v>50</v>
      </c>
      <c r="G430" s="397">
        <f>'пр.6.1.ведом.22-23 (2)'!H990</f>
        <v>60</v>
      </c>
    </row>
    <row r="431" spans="1:7" ht="41.25" hidden="1" customHeight="1" x14ac:dyDescent="0.25">
      <c r="A431" s="394" t="s">
        <v>890</v>
      </c>
      <c r="B431" s="7" t="s">
        <v>234</v>
      </c>
      <c r="C431" s="7" t="s">
        <v>215</v>
      </c>
      <c r="D431" s="395" t="s">
        <v>1294</v>
      </c>
      <c r="E431" s="395"/>
      <c r="F431" s="388">
        <f>F432+F435</f>
        <v>0</v>
      </c>
      <c r="G431" s="388">
        <f>G432+G435</f>
        <v>0</v>
      </c>
    </row>
    <row r="432" spans="1:7" ht="47.25" hidden="1" x14ac:dyDescent="0.25">
      <c r="A432" s="396" t="s">
        <v>690</v>
      </c>
      <c r="B432" s="392" t="s">
        <v>234</v>
      </c>
      <c r="C432" s="392" t="s">
        <v>215</v>
      </c>
      <c r="D432" s="392" t="s">
        <v>1325</v>
      </c>
      <c r="E432" s="392"/>
      <c r="F432" s="389">
        <f>F433</f>
        <v>0</v>
      </c>
      <c r="G432" s="389">
        <f t="shared" ref="G432:G463" si="32">F432</f>
        <v>0</v>
      </c>
    </row>
    <row r="433" spans="1:7" ht="31.5" hidden="1" x14ac:dyDescent="0.25">
      <c r="A433" s="396" t="s">
        <v>131</v>
      </c>
      <c r="B433" s="392" t="s">
        <v>234</v>
      </c>
      <c r="C433" s="392" t="s">
        <v>215</v>
      </c>
      <c r="D433" s="392" t="s">
        <v>1325</v>
      </c>
      <c r="E433" s="392" t="s">
        <v>132</v>
      </c>
      <c r="F433" s="389">
        <f>F434</f>
        <v>0</v>
      </c>
      <c r="G433" s="389">
        <f t="shared" si="32"/>
        <v>0</v>
      </c>
    </row>
    <row r="434" spans="1:7" ht="47.25" hidden="1" x14ac:dyDescent="0.25">
      <c r="A434" s="396" t="s">
        <v>133</v>
      </c>
      <c r="B434" s="392" t="s">
        <v>234</v>
      </c>
      <c r="C434" s="392" t="s">
        <v>215</v>
      </c>
      <c r="D434" s="392" t="s">
        <v>1325</v>
      </c>
      <c r="E434" s="392" t="s">
        <v>134</v>
      </c>
      <c r="F434" s="389">
        <f>'[1]Пр.4 Рд,пр, ЦС,ВР 21'!F423</f>
        <v>0</v>
      </c>
      <c r="G434" s="389">
        <f t="shared" si="32"/>
        <v>0</v>
      </c>
    </row>
    <row r="435" spans="1:7" ht="63" hidden="1" x14ac:dyDescent="0.25">
      <c r="A435" s="396" t="s">
        <v>1071</v>
      </c>
      <c r="B435" s="392" t="s">
        <v>234</v>
      </c>
      <c r="C435" s="392" t="s">
        <v>215</v>
      </c>
      <c r="D435" s="392" t="s">
        <v>1293</v>
      </c>
      <c r="E435" s="392"/>
      <c r="F435" s="389">
        <f>F436</f>
        <v>0</v>
      </c>
      <c r="G435" s="389">
        <f>G436</f>
        <v>0</v>
      </c>
    </row>
    <row r="436" spans="1:7" ht="31.5" hidden="1" x14ac:dyDescent="0.25">
      <c r="A436" s="396" t="s">
        <v>131</v>
      </c>
      <c r="B436" s="392" t="s">
        <v>234</v>
      </c>
      <c r="C436" s="392" t="s">
        <v>215</v>
      </c>
      <c r="D436" s="392" t="s">
        <v>1293</v>
      </c>
      <c r="E436" s="392" t="s">
        <v>132</v>
      </c>
      <c r="F436" s="389">
        <f>F437</f>
        <v>0</v>
      </c>
      <c r="G436" s="389">
        <f>G437</f>
        <v>0</v>
      </c>
    </row>
    <row r="437" spans="1:7" ht="47.25" hidden="1" x14ac:dyDescent="0.25">
      <c r="A437" s="396" t="s">
        <v>133</v>
      </c>
      <c r="B437" s="392" t="s">
        <v>234</v>
      </c>
      <c r="C437" s="392" t="s">
        <v>215</v>
      </c>
      <c r="D437" s="392" t="s">
        <v>1293</v>
      </c>
      <c r="E437" s="392" t="s">
        <v>134</v>
      </c>
      <c r="F437" s="389">
        <f>'пр.6.1.ведом.22-23 (2)'!G997</f>
        <v>0</v>
      </c>
      <c r="G437" s="389">
        <f>'пр.6.1.ведом.22-23 (2)'!H997</f>
        <v>0</v>
      </c>
    </row>
    <row r="438" spans="1:7" ht="78.75" x14ac:dyDescent="0.25">
      <c r="A438" s="394" t="s">
        <v>1513</v>
      </c>
      <c r="B438" s="395" t="s">
        <v>234</v>
      </c>
      <c r="C438" s="395" t="s">
        <v>215</v>
      </c>
      <c r="D438" s="395" t="s">
        <v>711</v>
      </c>
      <c r="E438" s="395"/>
      <c r="F438" s="388">
        <f t="shared" ref="F438:G438" si="33">F440</f>
        <v>500</v>
      </c>
      <c r="G438" s="388">
        <f t="shared" si="33"/>
        <v>500</v>
      </c>
    </row>
    <row r="439" spans="1:7" ht="31.5" x14ac:dyDescent="0.25">
      <c r="A439" s="394" t="s">
        <v>1067</v>
      </c>
      <c r="B439" s="395" t="s">
        <v>234</v>
      </c>
      <c r="C439" s="395" t="s">
        <v>215</v>
      </c>
      <c r="D439" s="395" t="s">
        <v>834</v>
      </c>
      <c r="E439" s="392"/>
      <c r="F439" s="388">
        <f t="shared" ref="F439:G441" si="34">F440</f>
        <v>500</v>
      </c>
      <c r="G439" s="388">
        <f t="shared" si="34"/>
        <v>500</v>
      </c>
    </row>
    <row r="440" spans="1:7" ht="31.5" x14ac:dyDescent="0.25">
      <c r="A440" s="235" t="s">
        <v>710</v>
      </c>
      <c r="B440" s="392" t="s">
        <v>234</v>
      </c>
      <c r="C440" s="392" t="s">
        <v>215</v>
      </c>
      <c r="D440" s="392" t="s">
        <v>834</v>
      </c>
      <c r="E440" s="392"/>
      <c r="F440" s="389">
        <f t="shared" si="34"/>
        <v>500</v>
      </c>
      <c r="G440" s="389">
        <f t="shared" si="34"/>
        <v>500</v>
      </c>
    </row>
    <row r="441" spans="1:7" ht="31.5" x14ac:dyDescent="0.25">
      <c r="A441" s="396" t="s">
        <v>131</v>
      </c>
      <c r="B441" s="392" t="s">
        <v>234</v>
      </c>
      <c r="C441" s="392" t="s">
        <v>215</v>
      </c>
      <c r="D441" s="392" t="s">
        <v>834</v>
      </c>
      <c r="E441" s="392" t="s">
        <v>132</v>
      </c>
      <c r="F441" s="389">
        <f t="shared" si="34"/>
        <v>500</v>
      </c>
      <c r="G441" s="389">
        <f t="shared" si="34"/>
        <v>500</v>
      </c>
    </row>
    <row r="442" spans="1:7" ht="47.25" x14ac:dyDescent="0.25">
      <c r="A442" s="396" t="s">
        <v>133</v>
      </c>
      <c r="B442" s="392" t="s">
        <v>234</v>
      </c>
      <c r="C442" s="392" t="s">
        <v>215</v>
      </c>
      <c r="D442" s="392" t="s">
        <v>834</v>
      </c>
      <c r="E442" s="392" t="s">
        <v>134</v>
      </c>
      <c r="F442" s="389">
        <f>'пр.6.1.ведом.22-23 (2)'!G1002</f>
        <v>500</v>
      </c>
      <c r="G442" s="389">
        <f>'пр.6.1.ведом.22-23 (2)'!H1002</f>
        <v>500</v>
      </c>
    </row>
    <row r="443" spans="1:7" ht="31.5" x14ac:dyDescent="0.25">
      <c r="A443" s="400" t="s">
        <v>569</v>
      </c>
      <c r="B443" s="7" t="s">
        <v>234</v>
      </c>
      <c r="C443" s="7" t="s">
        <v>234</v>
      </c>
      <c r="D443" s="7"/>
      <c r="E443" s="7"/>
      <c r="F443" s="388">
        <f>F444+F456+F473</f>
        <v>25304.5</v>
      </c>
      <c r="G443" s="388">
        <f>G444+G456+G473</f>
        <v>25304.5</v>
      </c>
    </row>
    <row r="444" spans="1:7" ht="31.5" x14ac:dyDescent="0.25">
      <c r="A444" s="394" t="s">
        <v>916</v>
      </c>
      <c r="B444" s="395" t="s">
        <v>234</v>
      </c>
      <c r="C444" s="395" t="s">
        <v>234</v>
      </c>
      <c r="D444" s="395" t="s">
        <v>857</v>
      </c>
      <c r="E444" s="395"/>
      <c r="F444" s="388">
        <f>F445</f>
        <v>12879.3</v>
      </c>
      <c r="G444" s="388">
        <f>G445</f>
        <v>12879.3</v>
      </c>
    </row>
    <row r="445" spans="1:7" ht="15.75" x14ac:dyDescent="0.25">
      <c r="A445" s="394" t="s">
        <v>917</v>
      </c>
      <c r="B445" s="395" t="s">
        <v>234</v>
      </c>
      <c r="C445" s="395" t="s">
        <v>234</v>
      </c>
      <c r="D445" s="395" t="s">
        <v>858</v>
      </c>
      <c r="E445" s="395"/>
      <c r="F445" s="388">
        <f>F446+F453</f>
        <v>12879.3</v>
      </c>
      <c r="G445" s="388">
        <f>G446+G453</f>
        <v>12879.3</v>
      </c>
    </row>
    <row r="446" spans="1:7" ht="31.5" x14ac:dyDescent="0.25">
      <c r="A446" s="396" t="s">
        <v>896</v>
      </c>
      <c r="B446" s="392" t="s">
        <v>234</v>
      </c>
      <c r="C446" s="392" t="s">
        <v>234</v>
      </c>
      <c r="D446" s="392" t="s">
        <v>859</v>
      </c>
      <c r="E446" s="392"/>
      <c r="F446" s="389">
        <f>F447+F449+F451</f>
        <v>12511.3</v>
      </c>
      <c r="G446" s="389">
        <f>G447+G449+G451</f>
        <v>12511.3</v>
      </c>
    </row>
    <row r="447" spans="1:7" ht="94.5" x14ac:dyDescent="0.25">
      <c r="A447" s="396" t="s">
        <v>127</v>
      </c>
      <c r="B447" s="392" t="s">
        <v>234</v>
      </c>
      <c r="C447" s="392" t="s">
        <v>234</v>
      </c>
      <c r="D447" s="392" t="s">
        <v>859</v>
      </c>
      <c r="E447" s="392" t="s">
        <v>128</v>
      </c>
      <c r="F447" s="389">
        <f>F448</f>
        <v>12439.3</v>
      </c>
      <c r="G447" s="389">
        <f>G448</f>
        <v>12439.3</v>
      </c>
    </row>
    <row r="448" spans="1:7" ht="36.75" customHeight="1" x14ac:dyDescent="0.25">
      <c r="A448" s="396" t="s">
        <v>129</v>
      </c>
      <c r="B448" s="392" t="s">
        <v>234</v>
      </c>
      <c r="C448" s="392" t="s">
        <v>234</v>
      </c>
      <c r="D448" s="392" t="s">
        <v>859</v>
      </c>
      <c r="E448" s="392" t="s">
        <v>130</v>
      </c>
      <c r="F448" s="389">
        <f>'пр.6.1.ведом.22-23 (2)'!G1008</f>
        <v>12439.3</v>
      </c>
      <c r="G448" s="389">
        <f>'пр.6.1.ведом.22-23 (2)'!H1008</f>
        <v>12439.3</v>
      </c>
    </row>
    <row r="449" spans="1:7" ht="31.5" x14ac:dyDescent="0.25">
      <c r="A449" s="396" t="s">
        <v>131</v>
      </c>
      <c r="B449" s="392" t="s">
        <v>234</v>
      </c>
      <c r="C449" s="392" t="s">
        <v>234</v>
      </c>
      <c r="D449" s="392" t="s">
        <v>859</v>
      </c>
      <c r="E449" s="392" t="s">
        <v>132</v>
      </c>
      <c r="F449" s="389">
        <f>F450</f>
        <v>25</v>
      </c>
      <c r="G449" s="389">
        <f>G450</f>
        <v>25</v>
      </c>
    </row>
    <row r="450" spans="1:7" ht="47.25" x14ac:dyDescent="0.25">
      <c r="A450" s="396" t="s">
        <v>133</v>
      </c>
      <c r="B450" s="392" t="s">
        <v>234</v>
      </c>
      <c r="C450" s="392" t="s">
        <v>234</v>
      </c>
      <c r="D450" s="392" t="s">
        <v>859</v>
      </c>
      <c r="E450" s="392" t="s">
        <v>134</v>
      </c>
      <c r="F450" s="389">
        <f>'пр.6.1.ведом.22-23 (2)'!G1010</f>
        <v>25</v>
      </c>
      <c r="G450" s="389">
        <f>'пр.6.1.ведом.22-23 (2)'!H1010</f>
        <v>25</v>
      </c>
    </row>
    <row r="451" spans="1:7" ht="15.75" x14ac:dyDescent="0.25">
      <c r="A451" s="396" t="s">
        <v>135</v>
      </c>
      <c r="B451" s="392" t="s">
        <v>234</v>
      </c>
      <c r="C451" s="392" t="s">
        <v>234</v>
      </c>
      <c r="D451" s="392" t="s">
        <v>859</v>
      </c>
      <c r="E451" s="392" t="s">
        <v>145</v>
      </c>
      <c r="F451" s="389">
        <f>F452</f>
        <v>47</v>
      </c>
      <c r="G451" s="389">
        <f>G452</f>
        <v>47</v>
      </c>
    </row>
    <row r="452" spans="1:7" ht="21.75" customHeight="1" x14ac:dyDescent="0.25">
      <c r="A452" s="396" t="s">
        <v>568</v>
      </c>
      <c r="B452" s="392" t="s">
        <v>234</v>
      </c>
      <c r="C452" s="392" t="s">
        <v>234</v>
      </c>
      <c r="D452" s="392" t="s">
        <v>859</v>
      </c>
      <c r="E452" s="392" t="s">
        <v>138</v>
      </c>
      <c r="F452" s="389">
        <f>'пр.6.1.ведом.22-23 (2)'!G1012</f>
        <v>47</v>
      </c>
      <c r="G452" s="389">
        <f>'пр.6.1.ведом.22-23 (2)'!H1012</f>
        <v>47</v>
      </c>
    </row>
    <row r="453" spans="1:7" ht="47.25" x14ac:dyDescent="0.25">
      <c r="A453" s="396" t="s">
        <v>838</v>
      </c>
      <c r="B453" s="392" t="s">
        <v>234</v>
      </c>
      <c r="C453" s="392" t="s">
        <v>234</v>
      </c>
      <c r="D453" s="392" t="s">
        <v>861</v>
      </c>
      <c r="E453" s="392"/>
      <c r="F453" s="389">
        <f>F454</f>
        <v>368</v>
      </c>
      <c r="G453" s="389">
        <f>G454</f>
        <v>368</v>
      </c>
    </row>
    <row r="454" spans="1:7" ht="94.5" x14ac:dyDescent="0.25">
      <c r="A454" s="396" t="s">
        <v>127</v>
      </c>
      <c r="B454" s="392" t="s">
        <v>234</v>
      </c>
      <c r="C454" s="392" t="s">
        <v>234</v>
      </c>
      <c r="D454" s="392" t="s">
        <v>861</v>
      </c>
      <c r="E454" s="392" t="s">
        <v>128</v>
      </c>
      <c r="F454" s="389">
        <f>F455</f>
        <v>368</v>
      </c>
      <c r="G454" s="389">
        <f>G455</f>
        <v>368</v>
      </c>
    </row>
    <row r="455" spans="1:7" ht="33" customHeight="1" x14ac:dyDescent="0.25">
      <c r="A455" s="396" t="s">
        <v>129</v>
      </c>
      <c r="B455" s="392" t="s">
        <v>234</v>
      </c>
      <c r="C455" s="392" t="s">
        <v>234</v>
      </c>
      <c r="D455" s="392" t="s">
        <v>861</v>
      </c>
      <c r="E455" s="392" t="s">
        <v>130</v>
      </c>
      <c r="F455" s="389">
        <f>'пр.6.1.ведом.22-23 (2)'!G1015</f>
        <v>368</v>
      </c>
      <c r="G455" s="389">
        <f>'пр.6.1.ведом.22-23 (2)'!H1015</f>
        <v>368</v>
      </c>
    </row>
    <row r="456" spans="1:7" ht="15.75" x14ac:dyDescent="0.25">
      <c r="A456" s="394" t="s">
        <v>141</v>
      </c>
      <c r="B456" s="395" t="s">
        <v>234</v>
      </c>
      <c r="C456" s="395" t="s">
        <v>234</v>
      </c>
      <c r="D456" s="395" t="s">
        <v>865</v>
      </c>
      <c r="E456" s="395"/>
      <c r="F456" s="388">
        <f>F457+F464</f>
        <v>12425.2</v>
      </c>
      <c r="G456" s="388">
        <f>G457+G464</f>
        <v>12425.2</v>
      </c>
    </row>
    <row r="457" spans="1:7" ht="31.5" x14ac:dyDescent="0.25">
      <c r="A457" s="394" t="s">
        <v>869</v>
      </c>
      <c r="B457" s="395" t="s">
        <v>234</v>
      </c>
      <c r="C457" s="395" t="s">
        <v>234</v>
      </c>
      <c r="D457" s="395" t="s">
        <v>864</v>
      </c>
      <c r="E457" s="395"/>
      <c r="F457" s="333">
        <f>F458+F461</f>
        <v>982</v>
      </c>
      <c r="G457" s="333">
        <f>G458+G461</f>
        <v>982</v>
      </c>
    </row>
    <row r="458" spans="1:7" ht="31.5" x14ac:dyDescent="0.25">
      <c r="A458" s="396" t="s">
        <v>570</v>
      </c>
      <c r="B458" s="392" t="s">
        <v>234</v>
      </c>
      <c r="C458" s="392" t="s">
        <v>234</v>
      </c>
      <c r="D458" s="392" t="s">
        <v>983</v>
      </c>
      <c r="E458" s="392"/>
      <c r="F458" s="389">
        <f>F459</f>
        <v>982</v>
      </c>
      <c r="G458" s="389">
        <f>G459</f>
        <v>982</v>
      </c>
    </row>
    <row r="459" spans="1:7" ht="15.75" x14ac:dyDescent="0.25">
      <c r="A459" s="396" t="s">
        <v>135</v>
      </c>
      <c r="B459" s="392" t="s">
        <v>234</v>
      </c>
      <c r="C459" s="392" t="s">
        <v>234</v>
      </c>
      <c r="D459" s="392" t="s">
        <v>983</v>
      </c>
      <c r="E459" s="392" t="s">
        <v>145</v>
      </c>
      <c r="F459" s="389">
        <f>F460</f>
        <v>982</v>
      </c>
      <c r="G459" s="389">
        <f>G460</f>
        <v>982</v>
      </c>
    </row>
    <row r="460" spans="1:7" ht="63" x14ac:dyDescent="0.25">
      <c r="A460" s="396" t="s">
        <v>184</v>
      </c>
      <c r="B460" s="392" t="s">
        <v>234</v>
      </c>
      <c r="C460" s="392" t="s">
        <v>234</v>
      </c>
      <c r="D460" s="392" t="s">
        <v>983</v>
      </c>
      <c r="E460" s="392" t="s">
        <v>160</v>
      </c>
      <c r="F460" s="389">
        <f>'пр.6.1.ведом.22-23 (2)'!G1020</f>
        <v>982</v>
      </c>
      <c r="G460" s="389">
        <f>'пр.6.1.ведом.22-23 (2)'!H1020</f>
        <v>982</v>
      </c>
    </row>
    <row r="461" spans="1:7" ht="31.5" hidden="1" x14ac:dyDescent="0.25">
      <c r="A461" s="396" t="s">
        <v>822</v>
      </c>
      <c r="B461" s="392" t="s">
        <v>234</v>
      </c>
      <c r="C461" s="392" t="s">
        <v>234</v>
      </c>
      <c r="D461" s="392" t="s">
        <v>1072</v>
      </c>
      <c r="E461" s="392"/>
      <c r="F461" s="389">
        <f>'[1]Пр.4 Рд,пр, ЦС,ВР 21'!F452</f>
        <v>0</v>
      </c>
      <c r="G461" s="389">
        <f t="shared" si="32"/>
        <v>0</v>
      </c>
    </row>
    <row r="462" spans="1:7" ht="15.75" hidden="1" x14ac:dyDescent="0.25">
      <c r="A462" s="396" t="s">
        <v>135</v>
      </c>
      <c r="B462" s="392" t="s">
        <v>234</v>
      </c>
      <c r="C462" s="392" t="s">
        <v>234</v>
      </c>
      <c r="D462" s="392" t="s">
        <v>1072</v>
      </c>
      <c r="E462" s="392" t="s">
        <v>145</v>
      </c>
      <c r="F462" s="389">
        <f>'[1]Пр.4 Рд,пр, ЦС,ВР 21'!F453</f>
        <v>0</v>
      </c>
      <c r="G462" s="389">
        <f t="shared" si="32"/>
        <v>0</v>
      </c>
    </row>
    <row r="463" spans="1:7" ht="63" hidden="1" x14ac:dyDescent="0.25">
      <c r="A463" s="396" t="s">
        <v>184</v>
      </c>
      <c r="B463" s="392" t="s">
        <v>234</v>
      </c>
      <c r="C463" s="392" t="s">
        <v>234</v>
      </c>
      <c r="D463" s="392" t="s">
        <v>1072</v>
      </c>
      <c r="E463" s="392" t="s">
        <v>160</v>
      </c>
      <c r="F463" s="389">
        <f>'[1]Пр.4 Рд,пр, ЦС,ВР 21'!F454</f>
        <v>0</v>
      </c>
      <c r="G463" s="389">
        <f t="shared" si="32"/>
        <v>0</v>
      </c>
    </row>
    <row r="464" spans="1:7" ht="47.25" x14ac:dyDescent="0.25">
      <c r="A464" s="394" t="s">
        <v>928</v>
      </c>
      <c r="B464" s="395" t="s">
        <v>234</v>
      </c>
      <c r="C464" s="395" t="s">
        <v>234</v>
      </c>
      <c r="D464" s="395" t="s">
        <v>913</v>
      </c>
      <c r="E464" s="395"/>
      <c r="F464" s="333">
        <f>F465+F470</f>
        <v>11443.2</v>
      </c>
      <c r="G464" s="333">
        <f>G465+G470</f>
        <v>11443.2</v>
      </c>
    </row>
    <row r="465" spans="1:10" ht="31.5" x14ac:dyDescent="0.25">
      <c r="A465" s="396" t="s">
        <v>902</v>
      </c>
      <c r="B465" s="392" t="s">
        <v>234</v>
      </c>
      <c r="C465" s="392" t="s">
        <v>234</v>
      </c>
      <c r="D465" s="392" t="s">
        <v>914</v>
      </c>
      <c r="E465" s="392"/>
      <c r="F465" s="389">
        <f>F466+F469</f>
        <v>10845.2</v>
      </c>
      <c r="G465" s="389">
        <f>G466+G469</f>
        <v>10845.2</v>
      </c>
    </row>
    <row r="466" spans="1:10" ht="94.5" x14ac:dyDescent="0.25">
      <c r="A466" s="396" t="s">
        <v>127</v>
      </c>
      <c r="B466" s="392" t="s">
        <v>234</v>
      </c>
      <c r="C466" s="392" t="s">
        <v>234</v>
      </c>
      <c r="D466" s="392" t="s">
        <v>914</v>
      </c>
      <c r="E466" s="392" t="s">
        <v>128</v>
      </c>
      <c r="F466" s="389">
        <f>F467</f>
        <v>9193</v>
      </c>
      <c r="G466" s="389">
        <f>G467</f>
        <v>9193</v>
      </c>
    </row>
    <row r="467" spans="1:10" ht="31.5" x14ac:dyDescent="0.25">
      <c r="A467" s="396" t="s">
        <v>342</v>
      </c>
      <c r="B467" s="392" t="s">
        <v>234</v>
      </c>
      <c r="C467" s="392" t="s">
        <v>234</v>
      </c>
      <c r="D467" s="392" t="s">
        <v>914</v>
      </c>
      <c r="E467" s="392" t="s">
        <v>209</v>
      </c>
      <c r="F467" s="389">
        <f>'пр.6.1.ведом.22-23 (2)'!G1027</f>
        <v>9193</v>
      </c>
      <c r="G467" s="389">
        <f>'пр.6.1.ведом.22-23 (2)'!H1027</f>
        <v>9193</v>
      </c>
    </row>
    <row r="468" spans="1:10" ht="31.5" x14ac:dyDescent="0.25">
      <c r="A468" s="396" t="s">
        <v>131</v>
      </c>
      <c r="B468" s="392" t="s">
        <v>234</v>
      </c>
      <c r="C468" s="392" t="s">
        <v>234</v>
      </c>
      <c r="D468" s="392" t="s">
        <v>914</v>
      </c>
      <c r="E468" s="392" t="s">
        <v>132</v>
      </c>
      <c r="F468" s="389">
        <f>F469</f>
        <v>1652.2</v>
      </c>
      <c r="G468" s="389">
        <f>G469</f>
        <v>1652.2</v>
      </c>
    </row>
    <row r="469" spans="1:10" ht="47.25" x14ac:dyDescent="0.25">
      <c r="A469" s="396" t="s">
        <v>133</v>
      </c>
      <c r="B469" s="392" t="s">
        <v>234</v>
      </c>
      <c r="C469" s="392" t="s">
        <v>234</v>
      </c>
      <c r="D469" s="392" t="s">
        <v>914</v>
      </c>
      <c r="E469" s="392" t="s">
        <v>134</v>
      </c>
      <c r="F469" s="389">
        <f>'пр.6.1.ведом.22-23 (2)'!G1029</f>
        <v>1652.2</v>
      </c>
      <c r="G469" s="389">
        <f>'пр.6.1.ведом.22-23 (2)'!H1029</f>
        <v>1652.2</v>
      </c>
    </row>
    <row r="470" spans="1:10" ht="47.25" x14ac:dyDescent="0.25">
      <c r="A470" s="396" t="s">
        <v>838</v>
      </c>
      <c r="B470" s="392" t="s">
        <v>234</v>
      </c>
      <c r="C470" s="392" t="s">
        <v>234</v>
      </c>
      <c r="D470" s="392" t="s">
        <v>915</v>
      </c>
      <c r="E470" s="392"/>
      <c r="F470" s="389">
        <f>F471</f>
        <v>598</v>
      </c>
      <c r="G470" s="389">
        <f>G471</f>
        <v>598</v>
      </c>
    </row>
    <row r="471" spans="1:10" ht="94.5" x14ac:dyDescent="0.25">
      <c r="A471" s="396" t="s">
        <v>127</v>
      </c>
      <c r="B471" s="392" t="s">
        <v>234</v>
      </c>
      <c r="C471" s="392" t="s">
        <v>234</v>
      </c>
      <c r="D471" s="392" t="s">
        <v>915</v>
      </c>
      <c r="E471" s="392" t="s">
        <v>128</v>
      </c>
      <c r="F471" s="389">
        <f>F472</f>
        <v>598</v>
      </c>
      <c r="G471" s="389">
        <f>G472</f>
        <v>598</v>
      </c>
    </row>
    <row r="472" spans="1:10" ht="39.75" customHeight="1" x14ac:dyDescent="0.25">
      <c r="A472" s="396" t="s">
        <v>129</v>
      </c>
      <c r="B472" s="392" t="s">
        <v>234</v>
      </c>
      <c r="C472" s="392" t="s">
        <v>234</v>
      </c>
      <c r="D472" s="392" t="s">
        <v>915</v>
      </c>
      <c r="E472" s="392" t="s">
        <v>130</v>
      </c>
      <c r="F472" s="389">
        <f>'пр.6.1.ведом.22-23 (2)'!G1032</f>
        <v>598</v>
      </c>
      <c r="G472" s="389">
        <f>'пр.6.1.ведом.22-23 (2)'!H1032</f>
        <v>598</v>
      </c>
    </row>
    <row r="473" spans="1:10" ht="63" hidden="1" x14ac:dyDescent="0.25">
      <c r="A473" s="34" t="s">
        <v>1356</v>
      </c>
      <c r="B473" s="395" t="s">
        <v>234</v>
      </c>
      <c r="C473" s="395" t="s">
        <v>234</v>
      </c>
      <c r="D473" s="395" t="s">
        <v>324</v>
      </c>
      <c r="E473" s="395"/>
      <c r="F473" s="393">
        <f t="shared" ref="F473:G476" si="35">F474</f>
        <v>0</v>
      </c>
      <c r="G473" s="393">
        <f t="shared" si="35"/>
        <v>0</v>
      </c>
    </row>
    <row r="474" spans="1:10" ht="63" hidden="1" x14ac:dyDescent="0.25">
      <c r="A474" s="34" t="s">
        <v>1008</v>
      </c>
      <c r="B474" s="395" t="s">
        <v>234</v>
      </c>
      <c r="C474" s="395" t="s">
        <v>234</v>
      </c>
      <c r="D474" s="395" t="s">
        <v>933</v>
      </c>
      <c r="E474" s="395"/>
      <c r="F474" s="393">
        <f t="shared" si="35"/>
        <v>0</v>
      </c>
      <c r="G474" s="393">
        <f t="shared" si="35"/>
        <v>0</v>
      </c>
    </row>
    <row r="475" spans="1:10" ht="47.25" hidden="1" x14ac:dyDescent="0.25">
      <c r="A475" s="31" t="s">
        <v>1081</v>
      </c>
      <c r="B475" s="392" t="s">
        <v>234</v>
      </c>
      <c r="C475" s="392" t="s">
        <v>234</v>
      </c>
      <c r="D475" s="392" t="s">
        <v>1025</v>
      </c>
      <c r="E475" s="392"/>
      <c r="F475" s="397">
        <f t="shared" si="35"/>
        <v>0</v>
      </c>
      <c r="G475" s="397">
        <f t="shared" si="35"/>
        <v>0</v>
      </c>
    </row>
    <row r="476" spans="1:10" ht="31.5" hidden="1" x14ac:dyDescent="0.25">
      <c r="A476" s="396" t="s">
        <v>131</v>
      </c>
      <c r="B476" s="392" t="s">
        <v>234</v>
      </c>
      <c r="C476" s="392" t="s">
        <v>234</v>
      </c>
      <c r="D476" s="392" t="s">
        <v>1025</v>
      </c>
      <c r="E476" s="392" t="s">
        <v>132</v>
      </c>
      <c r="F476" s="397">
        <f t="shared" si="35"/>
        <v>0</v>
      </c>
      <c r="G476" s="397">
        <f t="shared" si="35"/>
        <v>0</v>
      </c>
    </row>
    <row r="477" spans="1:10" ht="47.25" hidden="1" x14ac:dyDescent="0.25">
      <c r="A477" s="396" t="s">
        <v>133</v>
      </c>
      <c r="B477" s="392" t="s">
        <v>234</v>
      </c>
      <c r="C477" s="392" t="s">
        <v>234</v>
      </c>
      <c r="D477" s="392" t="s">
        <v>1025</v>
      </c>
      <c r="E477" s="392" t="s">
        <v>134</v>
      </c>
      <c r="F477" s="397">
        <f>'пр.6.1.ведом.22-23 (2)'!G1037</f>
        <v>0</v>
      </c>
      <c r="G477" s="389">
        <f>'пр.6.1.ведом.22-23 (2)'!H1037</f>
        <v>0</v>
      </c>
    </row>
    <row r="478" spans="1:10" ht="15.75" x14ac:dyDescent="0.25">
      <c r="A478" s="400" t="s">
        <v>263</v>
      </c>
      <c r="B478" s="7" t="s">
        <v>264</v>
      </c>
      <c r="C478" s="399"/>
      <c r="D478" s="399"/>
      <c r="E478" s="399"/>
      <c r="F478" s="388">
        <f>F479+F542+F714+F620+F689</f>
        <v>366206.80999999994</v>
      </c>
      <c r="G478" s="388">
        <f>G479+G542+G714+G620+G689</f>
        <v>389340.16000000003</v>
      </c>
      <c r="H478" s="209"/>
      <c r="I478" s="209"/>
      <c r="J478" s="209"/>
    </row>
    <row r="479" spans="1:10" ht="15.75" x14ac:dyDescent="0.25">
      <c r="A479" s="400" t="s">
        <v>404</v>
      </c>
      <c r="B479" s="7" t="s">
        <v>264</v>
      </c>
      <c r="C479" s="7" t="s">
        <v>118</v>
      </c>
      <c r="D479" s="7"/>
      <c r="E479" s="7"/>
      <c r="F479" s="388">
        <f>F480+F532+F537</f>
        <v>102250.3</v>
      </c>
      <c r="G479" s="388">
        <f>G480+G532+G537</f>
        <v>105829.20000000001</v>
      </c>
    </row>
    <row r="480" spans="1:10" ht="47.25" x14ac:dyDescent="0.25">
      <c r="A480" s="394" t="s">
        <v>1355</v>
      </c>
      <c r="B480" s="395" t="s">
        <v>264</v>
      </c>
      <c r="C480" s="395" t="s">
        <v>118</v>
      </c>
      <c r="D480" s="395" t="s">
        <v>406</v>
      </c>
      <c r="E480" s="395"/>
      <c r="F480" s="388">
        <f>F481+F485+F498+F508+F518+F525</f>
        <v>101599.40000000001</v>
      </c>
      <c r="G480" s="388">
        <f>G481+G485+G498+G508+G518+G525</f>
        <v>105210.40000000001</v>
      </c>
    </row>
    <row r="481" spans="1:7" ht="47.25" x14ac:dyDescent="0.25">
      <c r="A481" s="394" t="s">
        <v>936</v>
      </c>
      <c r="B481" s="395" t="s">
        <v>264</v>
      </c>
      <c r="C481" s="395" t="s">
        <v>118</v>
      </c>
      <c r="D481" s="395" t="s">
        <v>1228</v>
      </c>
      <c r="E481" s="395"/>
      <c r="F481" s="388">
        <f t="shared" ref="F481:G483" si="36">F482</f>
        <v>14795.6</v>
      </c>
      <c r="G481" s="388">
        <f t="shared" si="36"/>
        <v>14795.6</v>
      </c>
    </row>
    <row r="482" spans="1:7" ht="47.25" x14ac:dyDescent="0.25">
      <c r="A482" s="396" t="s">
        <v>1227</v>
      </c>
      <c r="B482" s="392" t="s">
        <v>264</v>
      </c>
      <c r="C482" s="392" t="s">
        <v>118</v>
      </c>
      <c r="D482" s="392" t="s">
        <v>1229</v>
      </c>
      <c r="E482" s="392"/>
      <c r="F482" s="389">
        <f t="shared" si="36"/>
        <v>14795.6</v>
      </c>
      <c r="G482" s="389">
        <f t="shared" si="36"/>
        <v>14795.6</v>
      </c>
    </row>
    <row r="483" spans="1:7" ht="47.25" x14ac:dyDescent="0.25">
      <c r="A483" s="396" t="s">
        <v>272</v>
      </c>
      <c r="B483" s="392" t="s">
        <v>264</v>
      </c>
      <c r="C483" s="392" t="s">
        <v>118</v>
      </c>
      <c r="D483" s="392" t="s">
        <v>1229</v>
      </c>
      <c r="E483" s="392" t="s">
        <v>273</v>
      </c>
      <c r="F483" s="389">
        <f t="shared" si="36"/>
        <v>14795.6</v>
      </c>
      <c r="G483" s="389">
        <f t="shared" si="36"/>
        <v>14795.6</v>
      </c>
    </row>
    <row r="484" spans="1:7" ht="25.5" customHeight="1" x14ac:dyDescent="0.25">
      <c r="A484" s="396" t="s">
        <v>274</v>
      </c>
      <c r="B484" s="392" t="s">
        <v>264</v>
      </c>
      <c r="C484" s="392" t="s">
        <v>118</v>
      </c>
      <c r="D484" s="392" t="s">
        <v>1229</v>
      </c>
      <c r="E484" s="392" t="s">
        <v>275</v>
      </c>
      <c r="F484" s="331">
        <f>'пр.6.1.ведом.22-23 (2)'!G554</f>
        <v>14795.6</v>
      </c>
      <c r="G484" s="331">
        <f>'пр.6.1.ведом.22-23 (2)'!H554</f>
        <v>14795.6</v>
      </c>
    </row>
    <row r="485" spans="1:7" ht="47.25" x14ac:dyDescent="0.25">
      <c r="A485" s="394" t="s">
        <v>899</v>
      </c>
      <c r="B485" s="395" t="s">
        <v>264</v>
      </c>
      <c r="C485" s="395" t="s">
        <v>118</v>
      </c>
      <c r="D485" s="395" t="s">
        <v>1230</v>
      </c>
      <c r="E485" s="395"/>
      <c r="F485" s="388">
        <f>F489+F492+F495+F486</f>
        <v>75561.5</v>
      </c>
      <c r="G485" s="388">
        <f>G489+G492+G495+G486</f>
        <v>79924.100000000006</v>
      </c>
    </row>
    <row r="486" spans="1:7" ht="110.25" x14ac:dyDescent="0.25">
      <c r="A486" s="31" t="s">
        <v>293</v>
      </c>
      <c r="B486" s="392" t="s">
        <v>264</v>
      </c>
      <c r="C486" s="392" t="s">
        <v>118</v>
      </c>
      <c r="D486" s="392" t="s">
        <v>1389</v>
      </c>
      <c r="E486" s="392"/>
      <c r="F486" s="389">
        <f t="shared" ref="F486:G487" si="37">F487</f>
        <v>3230</v>
      </c>
      <c r="G486" s="389">
        <f t="shared" si="37"/>
        <v>3230</v>
      </c>
    </row>
    <row r="487" spans="1:7" ht="47.25" x14ac:dyDescent="0.25">
      <c r="A487" s="396" t="s">
        <v>272</v>
      </c>
      <c r="B487" s="392" t="s">
        <v>264</v>
      </c>
      <c r="C487" s="392" t="s">
        <v>118</v>
      </c>
      <c r="D487" s="392" t="s">
        <v>1389</v>
      </c>
      <c r="E487" s="392" t="s">
        <v>273</v>
      </c>
      <c r="F487" s="389">
        <f t="shared" si="37"/>
        <v>3230</v>
      </c>
      <c r="G487" s="389">
        <f t="shared" si="37"/>
        <v>3230</v>
      </c>
    </row>
    <row r="488" spans="1:7" ht="15.75" x14ac:dyDescent="0.25">
      <c r="A488" s="396" t="s">
        <v>274</v>
      </c>
      <c r="B488" s="392" t="s">
        <v>264</v>
      </c>
      <c r="C488" s="392" t="s">
        <v>118</v>
      </c>
      <c r="D488" s="392" t="s">
        <v>1389</v>
      </c>
      <c r="E488" s="392" t="s">
        <v>275</v>
      </c>
      <c r="F488" s="389">
        <f>'пр.6.1.ведом.22-23 (2)'!G558</f>
        <v>3230</v>
      </c>
      <c r="G488" s="389">
        <f>'пр.6.1.ведом.22-23 (2)'!H558</f>
        <v>3230</v>
      </c>
    </row>
    <row r="489" spans="1:7" ht="63" x14ac:dyDescent="0.25">
      <c r="A489" s="31" t="s">
        <v>289</v>
      </c>
      <c r="B489" s="392" t="s">
        <v>264</v>
      </c>
      <c r="C489" s="392" t="s">
        <v>118</v>
      </c>
      <c r="D489" s="392" t="s">
        <v>1231</v>
      </c>
      <c r="E489" s="392"/>
      <c r="F489" s="389">
        <f t="shared" ref="F489:G490" si="38">F490</f>
        <v>589</v>
      </c>
      <c r="G489" s="389">
        <f t="shared" si="38"/>
        <v>589</v>
      </c>
    </row>
    <row r="490" spans="1:7" ht="47.25" x14ac:dyDescent="0.25">
      <c r="A490" s="396" t="s">
        <v>272</v>
      </c>
      <c r="B490" s="392" t="s">
        <v>264</v>
      </c>
      <c r="C490" s="392" t="s">
        <v>118</v>
      </c>
      <c r="D490" s="392" t="s">
        <v>1231</v>
      </c>
      <c r="E490" s="392" t="s">
        <v>273</v>
      </c>
      <c r="F490" s="389">
        <f t="shared" si="38"/>
        <v>589</v>
      </c>
      <c r="G490" s="389">
        <f t="shared" si="38"/>
        <v>589</v>
      </c>
    </row>
    <row r="491" spans="1:7" ht="15.75" x14ac:dyDescent="0.25">
      <c r="A491" s="396" t="s">
        <v>274</v>
      </c>
      <c r="B491" s="392" t="s">
        <v>264</v>
      </c>
      <c r="C491" s="392" t="s">
        <v>118</v>
      </c>
      <c r="D491" s="392" t="s">
        <v>1231</v>
      </c>
      <c r="E491" s="392" t="s">
        <v>275</v>
      </c>
      <c r="F491" s="389">
        <f>'пр.6.1.ведом.22-23 (2)'!G561</f>
        <v>589</v>
      </c>
      <c r="G491" s="389">
        <f>'пр.6.1.ведом.22-23 (2)'!H561</f>
        <v>589</v>
      </c>
    </row>
    <row r="492" spans="1:7" ht="78.75" x14ac:dyDescent="0.25">
      <c r="A492" s="31" t="s">
        <v>291</v>
      </c>
      <c r="B492" s="392" t="s">
        <v>264</v>
      </c>
      <c r="C492" s="392" t="s">
        <v>118</v>
      </c>
      <c r="D492" s="392" t="s">
        <v>1232</v>
      </c>
      <c r="E492" s="392"/>
      <c r="F492" s="389">
        <f t="shared" ref="F492:G493" si="39">F493</f>
        <v>1629.3</v>
      </c>
      <c r="G492" s="389">
        <f t="shared" si="39"/>
        <v>1629.3</v>
      </c>
    </row>
    <row r="493" spans="1:7" ht="47.25" x14ac:dyDescent="0.25">
      <c r="A493" s="396" t="s">
        <v>272</v>
      </c>
      <c r="B493" s="392" t="s">
        <v>264</v>
      </c>
      <c r="C493" s="392" t="s">
        <v>118</v>
      </c>
      <c r="D493" s="392" t="s">
        <v>1232</v>
      </c>
      <c r="E493" s="392" t="s">
        <v>273</v>
      </c>
      <c r="F493" s="389">
        <f t="shared" si="39"/>
        <v>1629.3</v>
      </c>
      <c r="G493" s="389">
        <f t="shared" si="39"/>
        <v>1629.3</v>
      </c>
    </row>
    <row r="494" spans="1:7" ht="15.75" x14ac:dyDescent="0.25">
      <c r="A494" s="396" t="s">
        <v>274</v>
      </c>
      <c r="B494" s="392" t="s">
        <v>264</v>
      </c>
      <c r="C494" s="392" t="s">
        <v>118</v>
      </c>
      <c r="D494" s="392" t="s">
        <v>1232</v>
      </c>
      <c r="E494" s="392" t="s">
        <v>275</v>
      </c>
      <c r="F494" s="389">
        <f>'пр.6.1.ведом.22-23 (2)'!G564</f>
        <v>1629.3</v>
      </c>
      <c r="G494" s="389">
        <f>'пр.6.1.ведом.22-23 (2)'!H564</f>
        <v>1629.3</v>
      </c>
    </row>
    <row r="495" spans="1:7" ht="94.5" x14ac:dyDescent="0.25">
      <c r="A495" s="31" t="s">
        <v>1181</v>
      </c>
      <c r="B495" s="392" t="s">
        <v>264</v>
      </c>
      <c r="C495" s="392" t="s">
        <v>118</v>
      </c>
      <c r="D495" s="392" t="s">
        <v>1233</v>
      </c>
      <c r="E495" s="392"/>
      <c r="F495" s="389">
        <f t="shared" ref="F495:G496" si="40">F496</f>
        <v>70113.2</v>
      </c>
      <c r="G495" s="389">
        <f t="shared" si="40"/>
        <v>74475.8</v>
      </c>
    </row>
    <row r="496" spans="1:7" ht="47.25" x14ac:dyDescent="0.25">
      <c r="A496" s="396" t="s">
        <v>272</v>
      </c>
      <c r="B496" s="392" t="s">
        <v>264</v>
      </c>
      <c r="C496" s="392" t="s">
        <v>118</v>
      </c>
      <c r="D496" s="392" t="s">
        <v>1233</v>
      </c>
      <c r="E496" s="392" t="s">
        <v>273</v>
      </c>
      <c r="F496" s="389">
        <f t="shared" si="40"/>
        <v>70113.2</v>
      </c>
      <c r="G496" s="389">
        <f t="shared" si="40"/>
        <v>74475.8</v>
      </c>
    </row>
    <row r="497" spans="1:7" ht="15.75" x14ac:dyDescent="0.25">
      <c r="A497" s="396" t="s">
        <v>274</v>
      </c>
      <c r="B497" s="392" t="s">
        <v>264</v>
      </c>
      <c r="C497" s="392" t="s">
        <v>118</v>
      </c>
      <c r="D497" s="392" t="s">
        <v>1233</v>
      </c>
      <c r="E497" s="392" t="s">
        <v>275</v>
      </c>
      <c r="F497" s="389">
        <f>'пр.6.1.ведом.22-23 (2)'!G567</f>
        <v>70113.2</v>
      </c>
      <c r="G497" s="389">
        <f>'пр.6.1.ведом.22-23 (2)'!H567</f>
        <v>74475.8</v>
      </c>
    </row>
    <row r="498" spans="1:7" ht="31.5" x14ac:dyDescent="0.25">
      <c r="A498" s="394" t="s">
        <v>1290</v>
      </c>
      <c r="B498" s="395" t="s">
        <v>264</v>
      </c>
      <c r="C498" s="395" t="s">
        <v>118</v>
      </c>
      <c r="D498" s="395" t="s">
        <v>1235</v>
      </c>
      <c r="E498" s="395"/>
      <c r="F498" s="388">
        <f>F505</f>
        <v>4430</v>
      </c>
      <c r="G498" s="388">
        <f>G505</f>
        <v>4430</v>
      </c>
    </row>
    <row r="499" spans="1:7" ht="47.25" hidden="1" x14ac:dyDescent="0.25">
      <c r="A499" s="396" t="s">
        <v>278</v>
      </c>
      <c r="B499" s="392" t="s">
        <v>264</v>
      </c>
      <c r="C499" s="392" t="s">
        <v>118</v>
      </c>
      <c r="D499" s="392" t="s">
        <v>1316</v>
      </c>
      <c r="E499" s="392"/>
      <c r="F499" s="389">
        <f>F500</f>
        <v>0</v>
      </c>
      <c r="G499" s="389">
        <f>G500</f>
        <v>0</v>
      </c>
    </row>
    <row r="500" spans="1:7" ht="47.25" hidden="1" x14ac:dyDescent="0.25">
      <c r="A500" s="396" t="s">
        <v>272</v>
      </c>
      <c r="B500" s="392" t="s">
        <v>264</v>
      </c>
      <c r="C500" s="392" t="s">
        <v>118</v>
      </c>
      <c r="D500" s="392" t="s">
        <v>1316</v>
      </c>
      <c r="E500" s="392" t="s">
        <v>273</v>
      </c>
      <c r="F500" s="389">
        <f t="shared" ref="F500:G500" si="41">F501</f>
        <v>0</v>
      </c>
      <c r="G500" s="389">
        <f t="shared" si="41"/>
        <v>0</v>
      </c>
    </row>
    <row r="501" spans="1:7" ht="15.75" hidden="1" x14ac:dyDescent="0.25">
      <c r="A501" s="396" t="s">
        <v>274</v>
      </c>
      <c r="B501" s="392" t="s">
        <v>264</v>
      </c>
      <c r="C501" s="392" t="s">
        <v>118</v>
      </c>
      <c r="D501" s="392" t="s">
        <v>1316</v>
      </c>
      <c r="E501" s="392" t="s">
        <v>275</v>
      </c>
      <c r="F501" s="389">
        <f>'пр.6.1.ведом.22-23 (2)'!G571</f>
        <v>0</v>
      </c>
      <c r="G501" s="389">
        <f>'пр.6.1.ведом.22-23 (2)'!H571</f>
        <v>0</v>
      </c>
    </row>
    <row r="502" spans="1:7" ht="31.5" hidden="1" x14ac:dyDescent="0.25">
      <c r="A502" s="396" t="s">
        <v>280</v>
      </c>
      <c r="B502" s="392" t="s">
        <v>264</v>
      </c>
      <c r="C502" s="392" t="s">
        <v>118</v>
      </c>
      <c r="D502" s="392" t="s">
        <v>1317</v>
      </c>
      <c r="E502" s="392"/>
      <c r="F502" s="389">
        <f>F503</f>
        <v>0</v>
      </c>
      <c r="G502" s="389">
        <f>G503</f>
        <v>0</v>
      </c>
    </row>
    <row r="503" spans="1:7" ht="47.25" hidden="1" x14ac:dyDescent="0.25">
      <c r="A503" s="396" t="s">
        <v>272</v>
      </c>
      <c r="B503" s="392" t="s">
        <v>264</v>
      </c>
      <c r="C503" s="392" t="s">
        <v>118</v>
      </c>
      <c r="D503" s="392" t="s">
        <v>1317</v>
      </c>
      <c r="E503" s="392" t="s">
        <v>273</v>
      </c>
      <c r="F503" s="389">
        <f t="shared" ref="F503:G503" si="42">F504</f>
        <v>0</v>
      </c>
      <c r="G503" s="389">
        <f t="shared" si="42"/>
        <v>0</v>
      </c>
    </row>
    <row r="504" spans="1:7" ht="15.75" hidden="1" x14ac:dyDescent="0.25">
      <c r="A504" s="396" t="s">
        <v>274</v>
      </c>
      <c r="B504" s="392" t="s">
        <v>264</v>
      </c>
      <c r="C504" s="392" t="s">
        <v>118</v>
      </c>
      <c r="D504" s="392" t="s">
        <v>1317</v>
      </c>
      <c r="E504" s="392" t="s">
        <v>275</v>
      </c>
      <c r="F504" s="389">
        <f>'пр.6.1.ведом.22-23 (2)'!G574</f>
        <v>0</v>
      </c>
      <c r="G504" s="389">
        <f>'пр.6.1.ведом.22-23 (2)'!H574</f>
        <v>0</v>
      </c>
    </row>
    <row r="505" spans="1:7" ht="47.25" x14ac:dyDescent="0.25">
      <c r="A505" s="29" t="s">
        <v>415</v>
      </c>
      <c r="B505" s="392" t="s">
        <v>264</v>
      </c>
      <c r="C505" s="392" t="s">
        <v>118</v>
      </c>
      <c r="D505" s="392" t="s">
        <v>1236</v>
      </c>
      <c r="E505" s="392"/>
      <c r="F505" s="389">
        <f>F506</f>
        <v>4430</v>
      </c>
      <c r="G505" s="389">
        <f>G506</f>
        <v>4430</v>
      </c>
    </row>
    <row r="506" spans="1:7" ht="47.25" x14ac:dyDescent="0.25">
      <c r="A506" s="396" t="s">
        <v>272</v>
      </c>
      <c r="B506" s="392" t="s">
        <v>264</v>
      </c>
      <c r="C506" s="392" t="s">
        <v>118</v>
      </c>
      <c r="D506" s="392" t="s">
        <v>1236</v>
      </c>
      <c r="E506" s="392" t="s">
        <v>273</v>
      </c>
      <c r="F506" s="389">
        <f>F507</f>
        <v>4430</v>
      </c>
      <c r="G506" s="389">
        <f>G507</f>
        <v>4430</v>
      </c>
    </row>
    <row r="507" spans="1:7" ht="15.75" x14ac:dyDescent="0.25">
      <c r="A507" s="396" t="s">
        <v>274</v>
      </c>
      <c r="B507" s="392" t="s">
        <v>264</v>
      </c>
      <c r="C507" s="392" t="s">
        <v>118</v>
      </c>
      <c r="D507" s="392" t="s">
        <v>1236</v>
      </c>
      <c r="E507" s="392" t="s">
        <v>275</v>
      </c>
      <c r="F507" s="389">
        <f>'пр.6.1.ведом.22-23 (2)'!G577</f>
        <v>4430</v>
      </c>
      <c r="G507" s="389">
        <f>'пр.6.1.ведом.22-23 (2)'!H577</f>
        <v>4430</v>
      </c>
    </row>
    <row r="508" spans="1:7" ht="47.25" x14ac:dyDescent="0.25">
      <c r="A508" s="203" t="s">
        <v>947</v>
      </c>
      <c r="B508" s="395" t="s">
        <v>264</v>
      </c>
      <c r="C508" s="395" t="s">
        <v>118</v>
      </c>
      <c r="D508" s="395" t="s">
        <v>1238</v>
      </c>
      <c r="E508" s="395"/>
      <c r="F508" s="388">
        <f>F512+F515</f>
        <v>4848</v>
      </c>
      <c r="G508" s="388">
        <f>G512+G515</f>
        <v>4848</v>
      </c>
    </row>
    <row r="509" spans="1:7" ht="31.5" hidden="1" x14ac:dyDescent="0.25">
      <c r="A509" s="396" t="s">
        <v>284</v>
      </c>
      <c r="B509" s="392" t="s">
        <v>264</v>
      </c>
      <c r="C509" s="392" t="s">
        <v>118</v>
      </c>
      <c r="D509" s="392" t="s">
        <v>1256</v>
      </c>
      <c r="E509" s="392"/>
      <c r="F509" s="389">
        <f>F510</f>
        <v>0</v>
      </c>
      <c r="G509" s="389">
        <f>G510</f>
        <v>0</v>
      </c>
    </row>
    <row r="510" spans="1:7" ht="47.25" hidden="1" x14ac:dyDescent="0.25">
      <c r="A510" s="396" t="s">
        <v>272</v>
      </c>
      <c r="B510" s="392" t="s">
        <v>264</v>
      </c>
      <c r="C510" s="392" t="s">
        <v>118</v>
      </c>
      <c r="D510" s="392" t="s">
        <v>1256</v>
      </c>
      <c r="E510" s="392" t="s">
        <v>273</v>
      </c>
      <c r="F510" s="389">
        <f>F511</f>
        <v>0</v>
      </c>
      <c r="G510" s="389">
        <f>G511</f>
        <v>0</v>
      </c>
    </row>
    <row r="511" spans="1:7" ht="15.75" hidden="1" x14ac:dyDescent="0.25">
      <c r="A511" s="396" t="s">
        <v>274</v>
      </c>
      <c r="B511" s="392" t="s">
        <v>264</v>
      </c>
      <c r="C511" s="392" t="s">
        <v>118</v>
      </c>
      <c r="D511" s="392" t="s">
        <v>1256</v>
      </c>
      <c r="E511" s="392" t="s">
        <v>275</v>
      </c>
      <c r="F511" s="389">
        <f>'пр.6.1.ведом.22-23 (2)'!G581</f>
        <v>0</v>
      </c>
      <c r="G511" s="389">
        <f>'пр.6.1.ведом.22-23 (2)'!H581</f>
        <v>0</v>
      </c>
    </row>
    <row r="512" spans="1:7" ht="47.25" x14ac:dyDescent="0.25">
      <c r="A512" s="60" t="s">
        <v>764</v>
      </c>
      <c r="B512" s="392" t="s">
        <v>264</v>
      </c>
      <c r="C512" s="392" t="s">
        <v>118</v>
      </c>
      <c r="D512" s="392" t="s">
        <v>1239</v>
      </c>
      <c r="E512" s="392"/>
      <c r="F512" s="389">
        <f>F513</f>
        <v>3088</v>
      </c>
      <c r="G512" s="389">
        <f>G513</f>
        <v>3088</v>
      </c>
    </row>
    <row r="513" spans="1:7" ht="47.25" x14ac:dyDescent="0.25">
      <c r="A513" s="29" t="s">
        <v>272</v>
      </c>
      <c r="B513" s="392" t="s">
        <v>264</v>
      </c>
      <c r="C513" s="392" t="s">
        <v>118</v>
      </c>
      <c r="D513" s="392" t="s">
        <v>1239</v>
      </c>
      <c r="E513" s="392" t="s">
        <v>273</v>
      </c>
      <c r="F513" s="389">
        <f>F514</f>
        <v>3088</v>
      </c>
      <c r="G513" s="389">
        <f>G514</f>
        <v>3088</v>
      </c>
    </row>
    <row r="514" spans="1:7" ht="15.75" x14ac:dyDescent="0.25">
      <c r="A514" s="180" t="s">
        <v>274</v>
      </c>
      <c r="B514" s="392" t="s">
        <v>264</v>
      </c>
      <c r="C514" s="392" t="s">
        <v>118</v>
      </c>
      <c r="D514" s="392" t="s">
        <v>1239</v>
      </c>
      <c r="E514" s="392" t="s">
        <v>275</v>
      </c>
      <c r="F514" s="389">
        <f>'пр.6.1.ведом.22-23 (2)'!G584</f>
        <v>3088</v>
      </c>
      <c r="G514" s="389">
        <f>'пр.6.1.ведом.22-23 (2)'!H584</f>
        <v>3088</v>
      </c>
    </row>
    <row r="515" spans="1:7" ht="63" x14ac:dyDescent="0.25">
      <c r="A515" s="60" t="s">
        <v>765</v>
      </c>
      <c r="B515" s="392" t="s">
        <v>264</v>
      </c>
      <c r="C515" s="392" t="s">
        <v>118</v>
      </c>
      <c r="D515" s="392" t="s">
        <v>1240</v>
      </c>
      <c r="E515" s="392"/>
      <c r="F515" s="389">
        <f>F516</f>
        <v>1760</v>
      </c>
      <c r="G515" s="389">
        <f>G516</f>
        <v>1760</v>
      </c>
    </row>
    <row r="516" spans="1:7" ht="47.25" x14ac:dyDescent="0.25">
      <c r="A516" s="29" t="s">
        <v>272</v>
      </c>
      <c r="B516" s="392" t="s">
        <v>264</v>
      </c>
      <c r="C516" s="392" t="s">
        <v>118</v>
      </c>
      <c r="D516" s="392" t="s">
        <v>1240</v>
      </c>
      <c r="E516" s="392" t="s">
        <v>273</v>
      </c>
      <c r="F516" s="389">
        <f>F517</f>
        <v>1760</v>
      </c>
      <c r="G516" s="389">
        <f>G517</f>
        <v>1760</v>
      </c>
    </row>
    <row r="517" spans="1:7" ht="15.75" x14ac:dyDescent="0.25">
      <c r="A517" s="180" t="s">
        <v>274</v>
      </c>
      <c r="B517" s="392" t="s">
        <v>264</v>
      </c>
      <c r="C517" s="392" t="s">
        <v>118</v>
      </c>
      <c r="D517" s="392" t="s">
        <v>1240</v>
      </c>
      <c r="E517" s="392" t="s">
        <v>275</v>
      </c>
      <c r="F517" s="389">
        <f>'пр.6.1.ведом.22-23 (2)'!G587</f>
        <v>1760</v>
      </c>
      <c r="G517" s="389">
        <f>'пр.6.1.ведом.22-23 (2)'!H587</f>
        <v>1760</v>
      </c>
    </row>
    <row r="518" spans="1:7" ht="78" customHeight="1" x14ac:dyDescent="0.25">
      <c r="A518" s="394" t="s">
        <v>932</v>
      </c>
      <c r="B518" s="395" t="s">
        <v>264</v>
      </c>
      <c r="C518" s="395" t="s">
        <v>118</v>
      </c>
      <c r="D518" s="395" t="s">
        <v>1241</v>
      </c>
      <c r="E518" s="395"/>
      <c r="F518" s="388">
        <f t="shared" ref="F518:G520" si="43">F519</f>
        <v>297.70000000000005</v>
      </c>
      <c r="G518" s="388">
        <f t="shared" si="43"/>
        <v>297.70000000000005</v>
      </c>
    </row>
    <row r="519" spans="1:7" ht="110.25" x14ac:dyDescent="0.25">
      <c r="A519" s="396" t="s">
        <v>1491</v>
      </c>
      <c r="B519" s="392" t="s">
        <v>264</v>
      </c>
      <c r="C519" s="392" t="s">
        <v>118</v>
      </c>
      <c r="D519" s="392" t="s">
        <v>1242</v>
      </c>
      <c r="E519" s="392"/>
      <c r="F519" s="389">
        <f t="shared" si="43"/>
        <v>297.70000000000005</v>
      </c>
      <c r="G519" s="389">
        <f t="shared" si="43"/>
        <v>297.70000000000005</v>
      </c>
    </row>
    <row r="520" spans="1:7" ht="47.25" x14ac:dyDescent="0.25">
      <c r="A520" s="29" t="s">
        <v>272</v>
      </c>
      <c r="B520" s="392" t="s">
        <v>264</v>
      </c>
      <c r="C520" s="392" t="s">
        <v>118</v>
      </c>
      <c r="D520" s="392" t="s">
        <v>1242</v>
      </c>
      <c r="E520" s="392" t="s">
        <v>273</v>
      </c>
      <c r="F520" s="389">
        <f t="shared" si="43"/>
        <v>297.70000000000005</v>
      </c>
      <c r="G520" s="389">
        <f t="shared" si="43"/>
        <v>297.70000000000005</v>
      </c>
    </row>
    <row r="521" spans="1:7" ht="15.75" x14ac:dyDescent="0.25">
      <c r="A521" s="180" t="s">
        <v>274</v>
      </c>
      <c r="B521" s="392" t="s">
        <v>264</v>
      </c>
      <c r="C521" s="392" t="s">
        <v>118</v>
      </c>
      <c r="D521" s="392" t="s">
        <v>1242</v>
      </c>
      <c r="E521" s="392" t="s">
        <v>275</v>
      </c>
      <c r="F521" s="389">
        <f>'пр.6.1.ведом.22-23 (2)'!G591</f>
        <v>297.70000000000005</v>
      </c>
      <c r="G521" s="389">
        <f>'пр.6.1.ведом.22-23 (2)'!H591</f>
        <v>297.70000000000005</v>
      </c>
    </row>
    <row r="522" spans="1:7" ht="157.5" hidden="1" x14ac:dyDescent="0.25">
      <c r="A522" s="396" t="s">
        <v>423</v>
      </c>
      <c r="B522" s="392" t="s">
        <v>264</v>
      </c>
      <c r="C522" s="392" t="s">
        <v>118</v>
      </c>
      <c r="D522" s="392" t="s">
        <v>1243</v>
      </c>
      <c r="E522" s="392"/>
      <c r="F522" s="389" t="e">
        <f t="shared" ref="F522:G523" si="44">F523</f>
        <v>#REF!</v>
      </c>
      <c r="G522" s="389" t="e">
        <f t="shared" si="44"/>
        <v>#REF!</v>
      </c>
    </row>
    <row r="523" spans="1:7" ht="47.25" hidden="1" x14ac:dyDescent="0.25">
      <c r="A523" s="396" t="s">
        <v>272</v>
      </c>
      <c r="B523" s="392" t="s">
        <v>264</v>
      </c>
      <c r="C523" s="392" t="s">
        <v>118</v>
      </c>
      <c r="D523" s="392" t="s">
        <v>1243</v>
      </c>
      <c r="E523" s="392" t="s">
        <v>273</v>
      </c>
      <c r="F523" s="389" t="e">
        <f t="shared" si="44"/>
        <v>#REF!</v>
      </c>
      <c r="G523" s="389" t="e">
        <f t="shared" si="44"/>
        <v>#REF!</v>
      </c>
    </row>
    <row r="524" spans="1:7" ht="15.75" hidden="1" x14ac:dyDescent="0.25">
      <c r="A524" s="396" t="s">
        <v>274</v>
      </c>
      <c r="B524" s="392" t="s">
        <v>264</v>
      </c>
      <c r="C524" s="392" t="s">
        <v>118</v>
      </c>
      <c r="D524" s="392" t="s">
        <v>1243</v>
      </c>
      <c r="E524" s="392" t="s">
        <v>275</v>
      </c>
      <c r="F524" s="389" t="e">
        <f>'пр.6.1.ведом.22-23 (2)'!#REF!</f>
        <v>#REF!</v>
      </c>
      <c r="G524" s="389" t="e">
        <f>'пр.6.1.ведом.22-23 (2)'!#REF!</f>
        <v>#REF!</v>
      </c>
    </row>
    <row r="525" spans="1:7" ht="110.25" x14ac:dyDescent="0.25">
      <c r="A525" s="394" t="s">
        <v>1164</v>
      </c>
      <c r="B525" s="395" t="s">
        <v>264</v>
      </c>
      <c r="C525" s="395" t="s">
        <v>118</v>
      </c>
      <c r="D525" s="395" t="s">
        <v>1244</v>
      </c>
      <c r="E525" s="395"/>
      <c r="F525" s="393">
        <f>F526+F529</f>
        <v>1666.6</v>
      </c>
      <c r="G525" s="393">
        <f>G526+G529</f>
        <v>915</v>
      </c>
    </row>
    <row r="526" spans="1:7" ht="101.25" hidden="1" customHeight="1" x14ac:dyDescent="0.25">
      <c r="A526" s="148" t="s">
        <v>1183</v>
      </c>
      <c r="B526" s="392" t="s">
        <v>264</v>
      </c>
      <c r="C526" s="392" t="s">
        <v>118</v>
      </c>
      <c r="D526" s="392" t="s">
        <v>1245</v>
      </c>
      <c r="E526" s="392"/>
      <c r="F526" s="397">
        <f>F527</f>
        <v>0</v>
      </c>
      <c r="G526" s="397">
        <f>G527</f>
        <v>0</v>
      </c>
    </row>
    <row r="527" spans="1:7" ht="47.25" hidden="1" x14ac:dyDescent="0.25">
      <c r="A527" s="396" t="s">
        <v>272</v>
      </c>
      <c r="B527" s="392" t="s">
        <v>264</v>
      </c>
      <c r="C527" s="392" t="s">
        <v>118</v>
      </c>
      <c r="D527" s="392" t="s">
        <v>1245</v>
      </c>
      <c r="E527" s="392" t="s">
        <v>273</v>
      </c>
      <c r="F527" s="397">
        <f>F528</f>
        <v>0</v>
      </c>
      <c r="G527" s="397">
        <f>G528</f>
        <v>0</v>
      </c>
    </row>
    <row r="528" spans="1:7" ht="15.75" hidden="1" x14ac:dyDescent="0.25">
      <c r="A528" s="396" t="s">
        <v>274</v>
      </c>
      <c r="B528" s="392" t="s">
        <v>264</v>
      </c>
      <c r="C528" s="392" t="s">
        <v>118</v>
      </c>
      <c r="D528" s="392" t="s">
        <v>1245</v>
      </c>
      <c r="E528" s="392" t="s">
        <v>275</v>
      </c>
      <c r="F528" s="397">
        <f>'пр.6.1.ведом.22-23 (2)'!G595</f>
        <v>0</v>
      </c>
      <c r="G528" s="397">
        <f>'пр.6.1.ведом.22-23 (2)'!H595</f>
        <v>0</v>
      </c>
    </row>
    <row r="529" spans="1:7" ht="94.5" x14ac:dyDescent="0.25">
      <c r="A529" s="148" t="s">
        <v>1474</v>
      </c>
      <c r="B529" s="392" t="s">
        <v>264</v>
      </c>
      <c r="C529" s="392" t="s">
        <v>118</v>
      </c>
      <c r="D529" s="392" t="s">
        <v>1245</v>
      </c>
      <c r="E529" s="392"/>
      <c r="F529" s="397">
        <f>F530</f>
        <v>1666.6</v>
      </c>
      <c r="G529" s="397">
        <f>G530</f>
        <v>915</v>
      </c>
    </row>
    <row r="530" spans="1:7" ht="47.25" x14ac:dyDescent="0.25">
      <c r="A530" s="396" t="s">
        <v>272</v>
      </c>
      <c r="B530" s="392" t="s">
        <v>264</v>
      </c>
      <c r="C530" s="392" t="s">
        <v>118</v>
      </c>
      <c r="D530" s="392" t="s">
        <v>1245</v>
      </c>
      <c r="E530" s="392" t="s">
        <v>273</v>
      </c>
      <c r="F530" s="397">
        <f>F531</f>
        <v>1666.6</v>
      </c>
      <c r="G530" s="397">
        <f>G531</f>
        <v>915</v>
      </c>
    </row>
    <row r="531" spans="1:7" ht="15.75" x14ac:dyDescent="0.25">
      <c r="A531" s="396" t="s">
        <v>274</v>
      </c>
      <c r="B531" s="392" t="s">
        <v>264</v>
      </c>
      <c r="C531" s="392" t="s">
        <v>118</v>
      </c>
      <c r="D531" s="392" t="s">
        <v>1245</v>
      </c>
      <c r="E531" s="392" t="s">
        <v>275</v>
      </c>
      <c r="F531" s="397">
        <f>'пр.6.1.ведом.22-23 (2)'!G598</f>
        <v>1666.6</v>
      </c>
      <c r="G531" s="397">
        <f>'пр.6.1.ведом.22-23 (2)'!H598</f>
        <v>915</v>
      </c>
    </row>
    <row r="532" spans="1:7" ht="63" x14ac:dyDescent="0.25">
      <c r="A532" s="34" t="s">
        <v>1356</v>
      </c>
      <c r="B532" s="395" t="s">
        <v>264</v>
      </c>
      <c r="C532" s="395" t="s">
        <v>118</v>
      </c>
      <c r="D532" s="395" t="s">
        <v>324</v>
      </c>
      <c r="E532" s="395"/>
      <c r="F532" s="393">
        <f t="shared" ref="F532:G535" si="45">F533</f>
        <v>80</v>
      </c>
      <c r="G532" s="393">
        <f t="shared" si="45"/>
        <v>25</v>
      </c>
    </row>
    <row r="533" spans="1:7" ht="63" x14ac:dyDescent="0.25">
      <c r="A533" s="34" t="s">
        <v>1008</v>
      </c>
      <c r="B533" s="395" t="s">
        <v>264</v>
      </c>
      <c r="C533" s="395" t="s">
        <v>118</v>
      </c>
      <c r="D533" s="395" t="s">
        <v>933</v>
      </c>
      <c r="E533" s="395"/>
      <c r="F533" s="393">
        <f t="shared" si="45"/>
        <v>80</v>
      </c>
      <c r="G533" s="393">
        <f t="shared" si="45"/>
        <v>25</v>
      </c>
    </row>
    <row r="534" spans="1:7" ht="47.25" x14ac:dyDescent="0.25">
      <c r="A534" s="31" t="s">
        <v>1082</v>
      </c>
      <c r="B534" s="392" t="s">
        <v>264</v>
      </c>
      <c r="C534" s="392" t="s">
        <v>118</v>
      </c>
      <c r="D534" s="392" t="s">
        <v>934</v>
      </c>
      <c r="E534" s="392"/>
      <c r="F534" s="397">
        <f t="shared" si="45"/>
        <v>80</v>
      </c>
      <c r="G534" s="397">
        <f t="shared" si="45"/>
        <v>25</v>
      </c>
    </row>
    <row r="535" spans="1:7" ht="47.25" x14ac:dyDescent="0.25">
      <c r="A535" s="31" t="s">
        <v>272</v>
      </c>
      <c r="B535" s="392" t="s">
        <v>264</v>
      </c>
      <c r="C535" s="392" t="s">
        <v>118</v>
      </c>
      <c r="D535" s="392" t="s">
        <v>934</v>
      </c>
      <c r="E535" s="392" t="s">
        <v>273</v>
      </c>
      <c r="F535" s="397">
        <f t="shared" si="45"/>
        <v>80</v>
      </c>
      <c r="G535" s="397">
        <f t="shared" si="45"/>
        <v>25</v>
      </c>
    </row>
    <row r="536" spans="1:7" ht="15.75" x14ac:dyDescent="0.25">
      <c r="A536" s="31" t="s">
        <v>274</v>
      </c>
      <c r="B536" s="392" t="s">
        <v>264</v>
      </c>
      <c r="C536" s="392" t="s">
        <v>118</v>
      </c>
      <c r="D536" s="392" t="s">
        <v>934</v>
      </c>
      <c r="E536" s="392" t="s">
        <v>275</v>
      </c>
      <c r="F536" s="397">
        <f>'пр.6.1.ведом.22-23 (2)'!G603</f>
        <v>80</v>
      </c>
      <c r="G536" s="397">
        <f>'пр.6.1.ведом.22-23 (2)'!H603</f>
        <v>25</v>
      </c>
    </row>
    <row r="537" spans="1:7" ht="63" x14ac:dyDescent="0.25">
      <c r="A537" s="400" t="s">
        <v>1351</v>
      </c>
      <c r="B537" s="395" t="s">
        <v>264</v>
      </c>
      <c r="C537" s="395" t="s">
        <v>118</v>
      </c>
      <c r="D537" s="395" t="s">
        <v>705</v>
      </c>
      <c r="E537" s="403"/>
      <c r="F537" s="388">
        <f>F538</f>
        <v>570.9</v>
      </c>
      <c r="G537" s="388">
        <f>G538</f>
        <v>593.79999999999995</v>
      </c>
    </row>
    <row r="538" spans="1:7" ht="63" x14ac:dyDescent="0.25">
      <c r="A538" s="400" t="s">
        <v>889</v>
      </c>
      <c r="B538" s="395" t="s">
        <v>264</v>
      </c>
      <c r="C538" s="395" t="s">
        <v>118</v>
      </c>
      <c r="D538" s="395" t="s">
        <v>887</v>
      </c>
      <c r="E538" s="403"/>
      <c r="F538" s="388">
        <f t="shared" ref="F538:G539" si="46">F539</f>
        <v>570.9</v>
      </c>
      <c r="G538" s="388">
        <f t="shared" si="46"/>
        <v>593.79999999999995</v>
      </c>
    </row>
    <row r="539" spans="1:7" ht="47.25" x14ac:dyDescent="0.25">
      <c r="A539" s="98" t="s">
        <v>780</v>
      </c>
      <c r="B539" s="392" t="s">
        <v>264</v>
      </c>
      <c r="C539" s="392" t="s">
        <v>118</v>
      </c>
      <c r="D539" s="392" t="s">
        <v>935</v>
      </c>
      <c r="E539" s="398"/>
      <c r="F539" s="389">
        <f t="shared" si="46"/>
        <v>570.9</v>
      </c>
      <c r="G539" s="389">
        <f t="shared" si="46"/>
        <v>593.79999999999995</v>
      </c>
    </row>
    <row r="540" spans="1:7" ht="47.25" x14ac:dyDescent="0.25">
      <c r="A540" s="29" t="s">
        <v>272</v>
      </c>
      <c r="B540" s="392" t="s">
        <v>264</v>
      </c>
      <c r="C540" s="392" t="s">
        <v>118</v>
      </c>
      <c r="D540" s="392" t="s">
        <v>935</v>
      </c>
      <c r="E540" s="398" t="s">
        <v>273</v>
      </c>
      <c r="F540" s="389">
        <f>F541</f>
        <v>570.9</v>
      </c>
      <c r="G540" s="389">
        <f>G541</f>
        <v>593.79999999999995</v>
      </c>
    </row>
    <row r="541" spans="1:7" ht="15.75" x14ac:dyDescent="0.25">
      <c r="A541" s="180" t="s">
        <v>274</v>
      </c>
      <c r="B541" s="392" t="s">
        <v>264</v>
      </c>
      <c r="C541" s="392" t="s">
        <v>118</v>
      </c>
      <c r="D541" s="392" t="s">
        <v>935</v>
      </c>
      <c r="E541" s="398" t="s">
        <v>275</v>
      </c>
      <c r="F541" s="389">
        <f>'пр.6.1.ведом.22-23 (2)'!G608</f>
        <v>570.9</v>
      </c>
      <c r="G541" s="389">
        <f>'пр.6.1.ведом.22-23 (2)'!H608</f>
        <v>593.79999999999995</v>
      </c>
    </row>
    <row r="542" spans="1:7" ht="15.75" x14ac:dyDescent="0.25">
      <c r="A542" s="400" t="s">
        <v>425</v>
      </c>
      <c r="B542" s="7" t="s">
        <v>264</v>
      </c>
      <c r="C542" s="7" t="s">
        <v>213</v>
      </c>
      <c r="D542" s="7"/>
      <c r="E542" s="7"/>
      <c r="F542" s="388">
        <f>F543+F615+F610</f>
        <v>177341.49999999997</v>
      </c>
      <c r="G542" s="388">
        <f>G543+G615+G610</f>
        <v>196805.15000000002</v>
      </c>
    </row>
    <row r="543" spans="1:7" ht="47.25" x14ac:dyDescent="0.25">
      <c r="A543" s="394" t="s">
        <v>1357</v>
      </c>
      <c r="B543" s="395" t="s">
        <v>264</v>
      </c>
      <c r="C543" s="395" t="s">
        <v>213</v>
      </c>
      <c r="D543" s="395" t="s">
        <v>406</v>
      </c>
      <c r="E543" s="395"/>
      <c r="F543" s="388">
        <f>F544+F548+F567+F580+F587+F591+F595+F602+F606</f>
        <v>176410.99999999997</v>
      </c>
      <c r="G543" s="388">
        <f>G544+G548+G567+G580+G587+G591+G595+G602+G606</f>
        <v>195829.85000000003</v>
      </c>
    </row>
    <row r="544" spans="1:7" ht="47.25" x14ac:dyDescent="0.25">
      <c r="A544" s="394" t="s">
        <v>936</v>
      </c>
      <c r="B544" s="395" t="s">
        <v>264</v>
      </c>
      <c r="C544" s="395" t="s">
        <v>213</v>
      </c>
      <c r="D544" s="395" t="s">
        <v>1228</v>
      </c>
      <c r="E544" s="395"/>
      <c r="F544" s="388">
        <f>F545</f>
        <v>28690.799999999999</v>
      </c>
      <c r="G544" s="388">
        <f>G545</f>
        <v>28690.799999999999</v>
      </c>
    </row>
    <row r="545" spans="1:7" ht="47.25" x14ac:dyDescent="0.25">
      <c r="A545" s="396" t="s">
        <v>1234</v>
      </c>
      <c r="B545" s="392" t="s">
        <v>264</v>
      </c>
      <c r="C545" s="392" t="s">
        <v>213</v>
      </c>
      <c r="D545" s="392" t="s">
        <v>1247</v>
      </c>
      <c r="E545" s="392"/>
      <c r="F545" s="331">
        <f t="shared" ref="F545:G545" si="47">F546</f>
        <v>28690.799999999999</v>
      </c>
      <c r="G545" s="331">
        <f t="shared" si="47"/>
        <v>28690.799999999999</v>
      </c>
    </row>
    <row r="546" spans="1:7" ht="47.25" x14ac:dyDescent="0.25">
      <c r="A546" s="396" t="s">
        <v>272</v>
      </c>
      <c r="B546" s="392" t="s">
        <v>264</v>
      </c>
      <c r="C546" s="392" t="s">
        <v>213</v>
      </c>
      <c r="D546" s="392" t="s">
        <v>1247</v>
      </c>
      <c r="E546" s="392" t="s">
        <v>273</v>
      </c>
      <c r="F546" s="331">
        <f>F547</f>
        <v>28690.799999999999</v>
      </c>
      <c r="G546" s="331">
        <f>G547</f>
        <v>28690.799999999999</v>
      </c>
    </row>
    <row r="547" spans="1:7" ht="15.75" x14ac:dyDescent="0.25">
      <c r="A547" s="396" t="s">
        <v>274</v>
      </c>
      <c r="B547" s="392" t="s">
        <v>264</v>
      </c>
      <c r="C547" s="392" t="s">
        <v>213</v>
      </c>
      <c r="D547" s="392" t="s">
        <v>1247</v>
      </c>
      <c r="E547" s="392" t="s">
        <v>275</v>
      </c>
      <c r="F547" s="389">
        <f>'пр.6.1.ведом.22-23 (2)'!G614</f>
        <v>28690.799999999999</v>
      </c>
      <c r="G547" s="389">
        <f>'пр.6.1.ведом.22-23 (2)'!H614</f>
        <v>28690.799999999999</v>
      </c>
    </row>
    <row r="548" spans="1:7" ht="47.25" x14ac:dyDescent="0.25">
      <c r="A548" s="394" t="s">
        <v>899</v>
      </c>
      <c r="B548" s="395" t="s">
        <v>264</v>
      </c>
      <c r="C548" s="395" t="s">
        <v>213</v>
      </c>
      <c r="D548" s="395" t="s">
        <v>1230</v>
      </c>
      <c r="E548" s="395"/>
      <c r="F548" s="388">
        <f>F555+F558+F561+F564+F552+F549</f>
        <v>131370.9</v>
      </c>
      <c r="G548" s="388">
        <f>G555+G558+G561+G564+G552+G549</f>
        <v>150534.80000000002</v>
      </c>
    </row>
    <row r="549" spans="1:7" ht="78.75" x14ac:dyDescent="0.25">
      <c r="A549" s="396" t="s">
        <v>1391</v>
      </c>
      <c r="B549" s="392" t="s">
        <v>264</v>
      </c>
      <c r="C549" s="392" t="s">
        <v>213</v>
      </c>
      <c r="D549" s="392" t="s">
        <v>1392</v>
      </c>
      <c r="E549" s="392"/>
      <c r="F549" s="27">
        <f>F550</f>
        <v>7226.1</v>
      </c>
      <c r="G549" s="27">
        <f>G550</f>
        <v>7226.1</v>
      </c>
    </row>
    <row r="550" spans="1:7" ht="47.25" x14ac:dyDescent="0.25">
      <c r="A550" s="396" t="s">
        <v>272</v>
      </c>
      <c r="B550" s="392" t="s">
        <v>264</v>
      </c>
      <c r="C550" s="392" t="s">
        <v>213</v>
      </c>
      <c r="D550" s="392" t="s">
        <v>1392</v>
      </c>
      <c r="E550" s="392" t="s">
        <v>273</v>
      </c>
      <c r="F550" s="27">
        <f>F551</f>
        <v>7226.1</v>
      </c>
      <c r="G550" s="27">
        <f>G551</f>
        <v>7226.1</v>
      </c>
    </row>
    <row r="551" spans="1:7" ht="15.75" x14ac:dyDescent="0.25">
      <c r="A551" s="396" t="s">
        <v>274</v>
      </c>
      <c r="B551" s="392" t="s">
        <v>264</v>
      </c>
      <c r="C551" s="392" t="s">
        <v>213</v>
      </c>
      <c r="D551" s="392" t="s">
        <v>1392</v>
      </c>
      <c r="E551" s="392" t="s">
        <v>275</v>
      </c>
      <c r="F551" s="27">
        <f>'пр.6.1.ведом.22-23 (2)'!G618</f>
        <v>7226.1</v>
      </c>
      <c r="G551" s="27">
        <f>'пр.6.1.ведом.22-23 (2)'!H618</f>
        <v>7226.1</v>
      </c>
    </row>
    <row r="552" spans="1:7" ht="110.25" x14ac:dyDescent="0.25">
      <c r="A552" s="31" t="s">
        <v>464</v>
      </c>
      <c r="B552" s="392" t="s">
        <v>264</v>
      </c>
      <c r="C552" s="392" t="s">
        <v>213</v>
      </c>
      <c r="D552" s="392" t="s">
        <v>1389</v>
      </c>
      <c r="E552" s="392"/>
      <c r="F552" s="389">
        <f>F553</f>
        <v>4610</v>
      </c>
      <c r="G552" s="389">
        <f>G553</f>
        <v>4610</v>
      </c>
    </row>
    <row r="553" spans="1:7" ht="47.25" x14ac:dyDescent="0.25">
      <c r="A553" s="396" t="s">
        <v>272</v>
      </c>
      <c r="B553" s="392" t="s">
        <v>264</v>
      </c>
      <c r="C553" s="392" t="s">
        <v>213</v>
      </c>
      <c r="D553" s="392" t="s">
        <v>1389</v>
      </c>
      <c r="E553" s="392" t="s">
        <v>273</v>
      </c>
      <c r="F553" s="389">
        <f>F554</f>
        <v>4610</v>
      </c>
      <c r="G553" s="389">
        <f>G554</f>
        <v>4610</v>
      </c>
    </row>
    <row r="554" spans="1:7" ht="15.75" x14ac:dyDescent="0.25">
      <c r="A554" s="396" t="s">
        <v>274</v>
      </c>
      <c r="B554" s="392" t="s">
        <v>264</v>
      </c>
      <c r="C554" s="392" t="s">
        <v>213</v>
      </c>
      <c r="D554" s="392" t="s">
        <v>1389</v>
      </c>
      <c r="E554" s="392" t="s">
        <v>275</v>
      </c>
      <c r="F554" s="389">
        <f>'пр.6.1.ведом.22-23 (2)'!G621</f>
        <v>4610</v>
      </c>
      <c r="G554" s="389">
        <f>'пр.6.1.ведом.22-23 (2)'!H621</f>
        <v>4610</v>
      </c>
    </row>
    <row r="555" spans="1:7" ht="102.75" customHeight="1" x14ac:dyDescent="0.25">
      <c r="A555" s="31" t="s">
        <v>1182</v>
      </c>
      <c r="B555" s="392" t="s">
        <v>264</v>
      </c>
      <c r="C555" s="392" t="s">
        <v>213</v>
      </c>
      <c r="D555" s="392" t="s">
        <v>1248</v>
      </c>
      <c r="E555" s="392"/>
      <c r="F555" s="389">
        <f>F556</f>
        <v>115047.8</v>
      </c>
      <c r="G555" s="389">
        <f>G556</f>
        <v>134211.70000000001</v>
      </c>
    </row>
    <row r="556" spans="1:7" ht="51" customHeight="1" x14ac:dyDescent="0.25">
      <c r="A556" s="396" t="s">
        <v>272</v>
      </c>
      <c r="B556" s="392" t="s">
        <v>264</v>
      </c>
      <c r="C556" s="392" t="s">
        <v>213</v>
      </c>
      <c r="D556" s="392" t="s">
        <v>1248</v>
      </c>
      <c r="E556" s="392" t="s">
        <v>273</v>
      </c>
      <c r="F556" s="389">
        <f t="shared" ref="F556:G556" si="48">F557</f>
        <v>115047.8</v>
      </c>
      <c r="G556" s="389">
        <f t="shared" si="48"/>
        <v>134211.70000000001</v>
      </c>
    </row>
    <row r="557" spans="1:7" ht="15.75" x14ac:dyDescent="0.25">
      <c r="A557" s="396" t="s">
        <v>274</v>
      </c>
      <c r="B557" s="392" t="s">
        <v>264</v>
      </c>
      <c r="C557" s="392" t="s">
        <v>213</v>
      </c>
      <c r="D557" s="392" t="s">
        <v>1248</v>
      </c>
      <c r="E557" s="392" t="s">
        <v>275</v>
      </c>
      <c r="F557" s="389">
        <f>'пр.6.1.ведом.22-23 (2)'!G624</f>
        <v>115047.8</v>
      </c>
      <c r="G557" s="389">
        <f>'пр.6.1.ведом.22-23 (2)'!H624</f>
        <v>134211.70000000001</v>
      </c>
    </row>
    <row r="558" spans="1:7" ht="63" x14ac:dyDescent="0.25">
      <c r="A558" s="31" t="s">
        <v>289</v>
      </c>
      <c r="B558" s="392" t="s">
        <v>264</v>
      </c>
      <c r="C558" s="392" t="s">
        <v>213</v>
      </c>
      <c r="D558" s="392" t="s">
        <v>1231</v>
      </c>
      <c r="E558" s="392"/>
      <c r="F558" s="389">
        <f>F559</f>
        <v>1311</v>
      </c>
      <c r="G558" s="389">
        <f>G559</f>
        <v>1311</v>
      </c>
    </row>
    <row r="559" spans="1:7" ht="47.25" x14ac:dyDescent="0.25">
      <c r="A559" s="396" t="s">
        <v>272</v>
      </c>
      <c r="B559" s="392" t="s">
        <v>264</v>
      </c>
      <c r="C559" s="392" t="s">
        <v>213</v>
      </c>
      <c r="D559" s="392" t="s">
        <v>1231</v>
      </c>
      <c r="E559" s="392" t="s">
        <v>273</v>
      </c>
      <c r="F559" s="389">
        <f t="shared" ref="F559:G559" si="49">F560</f>
        <v>1311</v>
      </c>
      <c r="G559" s="389">
        <f t="shared" si="49"/>
        <v>1311</v>
      </c>
    </row>
    <row r="560" spans="1:7" ht="15.75" x14ac:dyDescent="0.25">
      <c r="A560" s="396" t="s">
        <v>274</v>
      </c>
      <c r="B560" s="392" t="s">
        <v>264</v>
      </c>
      <c r="C560" s="392" t="s">
        <v>213</v>
      </c>
      <c r="D560" s="392" t="s">
        <v>1231</v>
      </c>
      <c r="E560" s="392" t="s">
        <v>275</v>
      </c>
      <c r="F560" s="389">
        <f>'пр.6.1.ведом.22-23 (2)'!G627</f>
        <v>1311</v>
      </c>
      <c r="G560" s="389">
        <f>'пр.6.1.ведом.22-23 (2)'!H627</f>
        <v>1311</v>
      </c>
    </row>
    <row r="561" spans="1:7" ht="78.75" x14ac:dyDescent="0.25">
      <c r="A561" s="31" t="s">
        <v>291</v>
      </c>
      <c r="B561" s="392" t="s">
        <v>264</v>
      </c>
      <c r="C561" s="392" t="s">
        <v>213</v>
      </c>
      <c r="D561" s="392" t="s">
        <v>1232</v>
      </c>
      <c r="E561" s="392"/>
      <c r="F561" s="389">
        <f>F562</f>
        <v>2266.6999999999998</v>
      </c>
      <c r="G561" s="389">
        <f>G562</f>
        <v>2266.6999999999998</v>
      </c>
    </row>
    <row r="562" spans="1:7" ht="47.25" x14ac:dyDescent="0.25">
      <c r="A562" s="396" t="s">
        <v>272</v>
      </c>
      <c r="B562" s="392" t="s">
        <v>264</v>
      </c>
      <c r="C562" s="392" t="s">
        <v>213</v>
      </c>
      <c r="D562" s="392" t="s">
        <v>1232</v>
      </c>
      <c r="E562" s="392" t="s">
        <v>273</v>
      </c>
      <c r="F562" s="389">
        <f t="shared" ref="F562:G562" si="50">F563</f>
        <v>2266.6999999999998</v>
      </c>
      <c r="G562" s="389">
        <f t="shared" si="50"/>
        <v>2266.6999999999998</v>
      </c>
    </row>
    <row r="563" spans="1:7" ht="15.75" x14ac:dyDescent="0.25">
      <c r="A563" s="396" t="s">
        <v>274</v>
      </c>
      <c r="B563" s="392" t="s">
        <v>264</v>
      </c>
      <c r="C563" s="392" t="s">
        <v>213</v>
      </c>
      <c r="D563" s="392" t="s">
        <v>1232</v>
      </c>
      <c r="E563" s="392" t="s">
        <v>275</v>
      </c>
      <c r="F563" s="389">
        <f>'пр.6.1.ведом.22-23 (2)'!G630</f>
        <v>2266.6999999999998</v>
      </c>
      <c r="G563" s="389">
        <f>'пр.6.1.ведом.22-23 (2)'!H630</f>
        <v>2266.6999999999998</v>
      </c>
    </row>
    <row r="564" spans="1:7" ht="47.25" x14ac:dyDescent="0.25">
      <c r="A564" s="31" t="s">
        <v>462</v>
      </c>
      <c r="B564" s="392" t="s">
        <v>264</v>
      </c>
      <c r="C564" s="392" t="s">
        <v>213</v>
      </c>
      <c r="D564" s="392" t="s">
        <v>1249</v>
      </c>
      <c r="E564" s="392"/>
      <c r="F564" s="389">
        <f>F565</f>
        <v>909.3</v>
      </c>
      <c r="G564" s="389">
        <f>G565</f>
        <v>909.3</v>
      </c>
    </row>
    <row r="565" spans="1:7" ht="47.25" x14ac:dyDescent="0.25">
      <c r="A565" s="396" t="s">
        <v>272</v>
      </c>
      <c r="B565" s="392" t="s">
        <v>264</v>
      </c>
      <c r="C565" s="392" t="s">
        <v>213</v>
      </c>
      <c r="D565" s="392" t="s">
        <v>1249</v>
      </c>
      <c r="E565" s="392" t="s">
        <v>273</v>
      </c>
      <c r="F565" s="389">
        <f t="shared" ref="F565:G565" si="51">F566</f>
        <v>909.3</v>
      </c>
      <c r="G565" s="389">
        <f t="shared" si="51"/>
        <v>909.3</v>
      </c>
    </row>
    <row r="566" spans="1:7" ht="15.75" x14ac:dyDescent="0.25">
      <c r="A566" s="396" t="s">
        <v>274</v>
      </c>
      <c r="B566" s="392" t="s">
        <v>264</v>
      </c>
      <c r="C566" s="392" t="s">
        <v>213</v>
      </c>
      <c r="D566" s="392" t="s">
        <v>1249</v>
      </c>
      <c r="E566" s="392" t="s">
        <v>275</v>
      </c>
      <c r="F566" s="389">
        <f>'пр.6.1.ведом.22-23 (2)'!G633</f>
        <v>909.3</v>
      </c>
      <c r="G566" s="389">
        <f>'пр.6.1.ведом.22-23 (2)'!H633</f>
        <v>909.3</v>
      </c>
    </row>
    <row r="567" spans="1:7" ht="31.5" x14ac:dyDescent="0.25">
      <c r="A567" s="394" t="s">
        <v>1302</v>
      </c>
      <c r="B567" s="395" t="s">
        <v>264</v>
      </c>
      <c r="C567" s="395" t="s">
        <v>213</v>
      </c>
      <c r="D567" s="395" t="s">
        <v>1235</v>
      </c>
      <c r="E567" s="395"/>
      <c r="F567" s="388">
        <f>F568+F571+F574+F577</f>
        <v>224</v>
      </c>
      <c r="G567" s="388">
        <f>G568+G571+G574+G577</f>
        <v>224</v>
      </c>
    </row>
    <row r="568" spans="1:7" ht="47.25" hidden="1" x14ac:dyDescent="0.25">
      <c r="A568" s="396" t="s">
        <v>440</v>
      </c>
      <c r="B568" s="392" t="s">
        <v>264</v>
      </c>
      <c r="C568" s="392" t="s">
        <v>213</v>
      </c>
      <c r="D568" s="392" t="s">
        <v>1315</v>
      </c>
      <c r="E568" s="392"/>
      <c r="F568" s="389">
        <f t="shared" ref="F568:G568" si="52">F569</f>
        <v>0</v>
      </c>
      <c r="G568" s="389">
        <f t="shared" si="52"/>
        <v>0</v>
      </c>
    </row>
    <row r="569" spans="1:7" ht="47.25" hidden="1" x14ac:dyDescent="0.25">
      <c r="A569" s="396" t="s">
        <v>272</v>
      </c>
      <c r="B569" s="392" t="s">
        <v>264</v>
      </c>
      <c r="C569" s="392" t="s">
        <v>213</v>
      </c>
      <c r="D569" s="392" t="s">
        <v>1315</v>
      </c>
      <c r="E569" s="392" t="s">
        <v>273</v>
      </c>
      <c r="F569" s="389">
        <f>F570</f>
        <v>0</v>
      </c>
      <c r="G569" s="389">
        <f>G570</f>
        <v>0</v>
      </c>
    </row>
    <row r="570" spans="1:7" ht="15.75" hidden="1" x14ac:dyDescent="0.25">
      <c r="A570" s="396" t="s">
        <v>274</v>
      </c>
      <c r="B570" s="392" t="s">
        <v>264</v>
      </c>
      <c r="C570" s="392" t="s">
        <v>213</v>
      </c>
      <c r="D570" s="392" t="s">
        <v>1315</v>
      </c>
      <c r="E570" s="392" t="s">
        <v>275</v>
      </c>
      <c r="F570" s="389">
        <f>'пр.6.1.ведом.22-23 (2)'!G637</f>
        <v>0</v>
      </c>
      <c r="G570" s="389">
        <f>'пр.6.1.ведом.22-23 (2)'!H637</f>
        <v>0</v>
      </c>
    </row>
    <row r="571" spans="1:7" ht="47.25" hidden="1" x14ac:dyDescent="0.25">
      <c r="A571" s="396" t="s">
        <v>278</v>
      </c>
      <c r="B571" s="392" t="s">
        <v>264</v>
      </c>
      <c r="C571" s="392" t="s">
        <v>213</v>
      </c>
      <c r="D571" s="392" t="s">
        <v>1316</v>
      </c>
      <c r="E571" s="392"/>
      <c r="F571" s="389">
        <f t="shared" ref="F571:G571" si="53">F572</f>
        <v>0</v>
      </c>
      <c r="G571" s="389">
        <f t="shared" si="53"/>
        <v>0</v>
      </c>
    </row>
    <row r="572" spans="1:7" ht="47.25" hidden="1" x14ac:dyDescent="0.25">
      <c r="A572" s="396" t="s">
        <v>272</v>
      </c>
      <c r="B572" s="392" t="s">
        <v>264</v>
      </c>
      <c r="C572" s="392" t="s">
        <v>213</v>
      </c>
      <c r="D572" s="392" t="s">
        <v>1316</v>
      </c>
      <c r="E572" s="392" t="s">
        <v>273</v>
      </c>
      <c r="F572" s="389">
        <f>F573</f>
        <v>0</v>
      </c>
      <c r="G572" s="389">
        <f>G573</f>
        <v>0</v>
      </c>
    </row>
    <row r="573" spans="1:7" ht="15.75" hidden="1" x14ac:dyDescent="0.25">
      <c r="A573" s="396" t="s">
        <v>274</v>
      </c>
      <c r="B573" s="392" t="s">
        <v>264</v>
      </c>
      <c r="C573" s="392" t="s">
        <v>213</v>
      </c>
      <c r="D573" s="392" t="s">
        <v>1316</v>
      </c>
      <c r="E573" s="392" t="s">
        <v>275</v>
      </c>
      <c r="F573" s="389">
        <f>'пр.6.1.ведом.22-23 (2)'!G640</f>
        <v>0</v>
      </c>
      <c r="G573" s="389">
        <f>'пр.6.1.ведом.22-23 (2)'!H640</f>
        <v>0</v>
      </c>
    </row>
    <row r="574" spans="1:7" ht="31.5" hidden="1" x14ac:dyDescent="0.25">
      <c r="A574" s="396" t="s">
        <v>280</v>
      </c>
      <c r="B574" s="392" t="s">
        <v>264</v>
      </c>
      <c r="C574" s="392" t="s">
        <v>213</v>
      </c>
      <c r="D574" s="392" t="s">
        <v>1317</v>
      </c>
      <c r="E574" s="392"/>
      <c r="F574" s="389">
        <f t="shared" ref="F574:G574" si="54">F575</f>
        <v>0</v>
      </c>
      <c r="G574" s="389">
        <f t="shared" si="54"/>
        <v>0</v>
      </c>
    </row>
    <row r="575" spans="1:7" ht="47.25" hidden="1" x14ac:dyDescent="0.25">
      <c r="A575" s="396" t="s">
        <v>272</v>
      </c>
      <c r="B575" s="392" t="s">
        <v>264</v>
      </c>
      <c r="C575" s="392" t="s">
        <v>213</v>
      </c>
      <c r="D575" s="392" t="s">
        <v>1317</v>
      </c>
      <c r="E575" s="392" t="s">
        <v>273</v>
      </c>
      <c r="F575" s="389">
        <f>F576</f>
        <v>0</v>
      </c>
      <c r="G575" s="389">
        <f>G576</f>
        <v>0</v>
      </c>
    </row>
    <row r="576" spans="1:7" ht="15.75" hidden="1" x14ac:dyDescent="0.25">
      <c r="A576" s="396" t="s">
        <v>274</v>
      </c>
      <c r="B576" s="392" t="s">
        <v>264</v>
      </c>
      <c r="C576" s="392" t="s">
        <v>213</v>
      </c>
      <c r="D576" s="392" t="s">
        <v>1317</v>
      </c>
      <c r="E576" s="392" t="s">
        <v>275</v>
      </c>
      <c r="F576" s="389">
        <f>'пр.6.1.ведом.22-23 (2)'!G643</f>
        <v>0</v>
      </c>
      <c r="G576" s="389">
        <f>'пр.6.1.ведом.22-23 (2)'!H643</f>
        <v>0</v>
      </c>
    </row>
    <row r="577" spans="1:7" ht="47.25" x14ac:dyDescent="0.25">
      <c r="A577" s="396" t="s">
        <v>282</v>
      </c>
      <c r="B577" s="392" t="s">
        <v>264</v>
      </c>
      <c r="C577" s="392" t="s">
        <v>213</v>
      </c>
      <c r="D577" s="392" t="s">
        <v>1251</v>
      </c>
      <c r="E577" s="392"/>
      <c r="F577" s="389">
        <f t="shared" ref="F577:G577" si="55">F578</f>
        <v>224</v>
      </c>
      <c r="G577" s="389">
        <f t="shared" si="55"/>
        <v>224</v>
      </c>
    </row>
    <row r="578" spans="1:7" ht="47.25" x14ac:dyDescent="0.25">
      <c r="A578" s="396" t="s">
        <v>272</v>
      </c>
      <c r="B578" s="392" t="s">
        <v>264</v>
      </c>
      <c r="C578" s="392" t="s">
        <v>213</v>
      </c>
      <c r="D578" s="392" t="s">
        <v>1251</v>
      </c>
      <c r="E578" s="392" t="s">
        <v>273</v>
      </c>
      <c r="F578" s="389">
        <f>F579</f>
        <v>224</v>
      </c>
      <c r="G578" s="389">
        <f>G579</f>
        <v>224</v>
      </c>
    </row>
    <row r="579" spans="1:7" ht="15.75" x14ac:dyDescent="0.25">
      <c r="A579" s="396" t="s">
        <v>274</v>
      </c>
      <c r="B579" s="392" t="s">
        <v>264</v>
      </c>
      <c r="C579" s="392" t="s">
        <v>213</v>
      </c>
      <c r="D579" s="392" t="s">
        <v>1251</v>
      </c>
      <c r="E579" s="392" t="s">
        <v>275</v>
      </c>
      <c r="F579" s="389">
        <f>'пр.6.1.ведом.22-23 (2)'!G646</f>
        <v>224</v>
      </c>
      <c r="G579" s="389">
        <f>'пр.6.1.ведом.22-23 (2)'!H646</f>
        <v>224</v>
      </c>
    </row>
    <row r="580" spans="1:7" ht="47.25" x14ac:dyDescent="0.25">
      <c r="A580" s="203" t="s">
        <v>947</v>
      </c>
      <c r="B580" s="395" t="s">
        <v>264</v>
      </c>
      <c r="C580" s="395" t="s">
        <v>213</v>
      </c>
      <c r="D580" s="395" t="s">
        <v>1238</v>
      </c>
      <c r="E580" s="395"/>
      <c r="F580" s="388">
        <f>F581+F584</f>
        <v>2888</v>
      </c>
      <c r="G580" s="388">
        <f>G581+G584</f>
        <v>2888</v>
      </c>
    </row>
    <row r="581" spans="1:7" ht="31.5" hidden="1" x14ac:dyDescent="0.25">
      <c r="A581" s="396" t="s">
        <v>284</v>
      </c>
      <c r="B581" s="392" t="s">
        <v>264</v>
      </c>
      <c r="C581" s="392" t="s">
        <v>213</v>
      </c>
      <c r="D581" s="392" t="s">
        <v>1256</v>
      </c>
      <c r="E581" s="392"/>
      <c r="F581" s="389">
        <f>F582</f>
        <v>0</v>
      </c>
      <c r="G581" s="389">
        <f>G582</f>
        <v>0</v>
      </c>
    </row>
    <row r="582" spans="1:7" ht="47.25" hidden="1" x14ac:dyDescent="0.25">
      <c r="A582" s="396" t="s">
        <v>272</v>
      </c>
      <c r="B582" s="392" t="s">
        <v>264</v>
      </c>
      <c r="C582" s="392" t="s">
        <v>213</v>
      </c>
      <c r="D582" s="392" t="s">
        <v>1256</v>
      </c>
      <c r="E582" s="392" t="s">
        <v>273</v>
      </c>
      <c r="F582" s="389">
        <f>F583</f>
        <v>0</v>
      </c>
      <c r="G582" s="389">
        <f>G583</f>
        <v>0</v>
      </c>
    </row>
    <row r="583" spans="1:7" ht="18.75" hidden="1" customHeight="1" x14ac:dyDescent="0.25">
      <c r="A583" s="396" t="s">
        <v>274</v>
      </c>
      <c r="B583" s="392" t="s">
        <v>264</v>
      </c>
      <c r="C583" s="392" t="s">
        <v>213</v>
      </c>
      <c r="D583" s="392" t="s">
        <v>1256</v>
      </c>
      <c r="E583" s="392" t="s">
        <v>275</v>
      </c>
      <c r="F583" s="389">
        <f>'пр.6.1.ведом.22-23 (2)'!G650</f>
        <v>0</v>
      </c>
      <c r="G583" s="389">
        <f>'пр.6.1.ведом.22-23 (2)'!H650</f>
        <v>0</v>
      </c>
    </row>
    <row r="584" spans="1:7" ht="47.25" x14ac:dyDescent="0.25">
      <c r="A584" s="60" t="s">
        <v>764</v>
      </c>
      <c r="B584" s="392" t="s">
        <v>264</v>
      </c>
      <c r="C584" s="392" t="s">
        <v>213</v>
      </c>
      <c r="D584" s="392" t="s">
        <v>1239</v>
      </c>
      <c r="E584" s="392"/>
      <c r="F584" s="389">
        <f>F585</f>
        <v>2888</v>
      </c>
      <c r="G584" s="389">
        <f>G585</f>
        <v>2888</v>
      </c>
    </row>
    <row r="585" spans="1:7" ht="47.25" x14ac:dyDescent="0.25">
      <c r="A585" s="29" t="s">
        <v>272</v>
      </c>
      <c r="B585" s="392" t="s">
        <v>264</v>
      </c>
      <c r="C585" s="392" t="s">
        <v>213</v>
      </c>
      <c r="D585" s="392" t="s">
        <v>1239</v>
      </c>
      <c r="E585" s="392" t="s">
        <v>273</v>
      </c>
      <c r="F585" s="389">
        <f>F586</f>
        <v>2888</v>
      </c>
      <c r="G585" s="389">
        <f>G586</f>
        <v>2888</v>
      </c>
    </row>
    <row r="586" spans="1:7" ht="15.75" x14ac:dyDescent="0.25">
      <c r="A586" s="180" t="s">
        <v>274</v>
      </c>
      <c r="B586" s="392" t="s">
        <v>264</v>
      </c>
      <c r="C586" s="392" t="s">
        <v>213</v>
      </c>
      <c r="D586" s="392" t="s">
        <v>1239</v>
      </c>
      <c r="E586" s="392" t="s">
        <v>275</v>
      </c>
      <c r="F586" s="389">
        <f>'пр.6.1.ведом.22-23 (2)'!G653</f>
        <v>2888</v>
      </c>
      <c r="G586" s="389">
        <f>'пр.6.1.ведом.22-23 (2)'!H653</f>
        <v>2888</v>
      </c>
    </row>
    <row r="587" spans="1:7" ht="31.5" x14ac:dyDescent="0.25">
      <c r="A587" s="394" t="s">
        <v>937</v>
      </c>
      <c r="B587" s="395" t="s">
        <v>264</v>
      </c>
      <c r="C587" s="395" t="s">
        <v>213</v>
      </c>
      <c r="D587" s="395" t="s">
        <v>1252</v>
      </c>
      <c r="E587" s="395"/>
      <c r="F587" s="388">
        <f t="shared" ref="F587:G589" si="56">F588</f>
        <v>3931.8</v>
      </c>
      <c r="G587" s="388">
        <f t="shared" si="56"/>
        <v>3865.2</v>
      </c>
    </row>
    <row r="588" spans="1:7" ht="47.25" x14ac:dyDescent="0.25">
      <c r="A588" s="29" t="s">
        <v>602</v>
      </c>
      <c r="B588" s="392" t="s">
        <v>264</v>
      </c>
      <c r="C588" s="392" t="s">
        <v>213</v>
      </c>
      <c r="D588" s="392" t="s">
        <v>1253</v>
      </c>
      <c r="E588" s="392"/>
      <c r="F588" s="389">
        <f t="shared" si="56"/>
        <v>3931.8</v>
      </c>
      <c r="G588" s="389">
        <f t="shared" si="56"/>
        <v>3865.2</v>
      </c>
    </row>
    <row r="589" spans="1:7" ht="47.25" x14ac:dyDescent="0.25">
      <c r="A589" s="396" t="s">
        <v>272</v>
      </c>
      <c r="B589" s="392" t="s">
        <v>264</v>
      </c>
      <c r="C589" s="392" t="s">
        <v>213</v>
      </c>
      <c r="D589" s="392" t="s">
        <v>1253</v>
      </c>
      <c r="E589" s="392" t="s">
        <v>273</v>
      </c>
      <c r="F589" s="389">
        <f t="shared" si="56"/>
        <v>3931.8</v>
      </c>
      <c r="G589" s="389">
        <f t="shared" si="56"/>
        <v>3865.2</v>
      </c>
    </row>
    <row r="590" spans="1:7" ht="15.75" x14ac:dyDescent="0.25">
      <c r="A590" s="396" t="s">
        <v>274</v>
      </c>
      <c r="B590" s="392" t="s">
        <v>264</v>
      </c>
      <c r="C590" s="392" t="s">
        <v>213</v>
      </c>
      <c r="D590" s="392" t="s">
        <v>1253</v>
      </c>
      <c r="E590" s="392" t="s">
        <v>275</v>
      </c>
      <c r="F590" s="389">
        <f>'пр.6.1.ведом.22-23 (2)'!G657</f>
        <v>3931.8</v>
      </c>
      <c r="G590" s="389">
        <f>'пр.6.1.ведом.22-23 (2)'!H657</f>
        <v>3865.2</v>
      </c>
    </row>
    <row r="591" spans="1:7" ht="31.5" x14ac:dyDescent="0.25">
      <c r="A591" s="394" t="s">
        <v>938</v>
      </c>
      <c r="B591" s="395" t="s">
        <v>264</v>
      </c>
      <c r="C591" s="395" t="s">
        <v>213</v>
      </c>
      <c r="D591" s="395" t="s">
        <v>1254</v>
      </c>
      <c r="E591" s="395"/>
      <c r="F591" s="388">
        <f t="shared" ref="F591:G593" si="57">F592</f>
        <v>1384.6</v>
      </c>
      <c r="G591" s="388">
        <f t="shared" si="57"/>
        <v>1384.6</v>
      </c>
    </row>
    <row r="592" spans="1:7" ht="63" x14ac:dyDescent="0.25">
      <c r="A592" s="396" t="s">
        <v>438</v>
      </c>
      <c r="B592" s="392" t="s">
        <v>264</v>
      </c>
      <c r="C592" s="392" t="s">
        <v>213</v>
      </c>
      <c r="D592" s="392" t="s">
        <v>1255</v>
      </c>
      <c r="E592" s="392"/>
      <c r="F592" s="389">
        <f t="shared" si="57"/>
        <v>1384.6</v>
      </c>
      <c r="G592" s="389">
        <f t="shared" si="57"/>
        <v>1384.6</v>
      </c>
    </row>
    <row r="593" spans="1:7" ht="47.25" x14ac:dyDescent="0.25">
      <c r="A593" s="396" t="s">
        <v>272</v>
      </c>
      <c r="B593" s="392" t="s">
        <v>264</v>
      </c>
      <c r="C593" s="392" t="s">
        <v>213</v>
      </c>
      <c r="D593" s="392" t="s">
        <v>1255</v>
      </c>
      <c r="E593" s="392" t="s">
        <v>273</v>
      </c>
      <c r="F593" s="389">
        <f t="shared" si="57"/>
        <v>1384.6</v>
      </c>
      <c r="G593" s="389">
        <f t="shared" si="57"/>
        <v>1384.6</v>
      </c>
    </row>
    <row r="594" spans="1:7" ht="15.75" x14ac:dyDescent="0.25">
      <c r="A594" s="396" t="s">
        <v>274</v>
      </c>
      <c r="B594" s="392" t="s">
        <v>264</v>
      </c>
      <c r="C594" s="392" t="s">
        <v>213</v>
      </c>
      <c r="D594" s="392" t="s">
        <v>1255</v>
      </c>
      <c r="E594" s="392" t="s">
        <v>275</v>
      </c>
      <c r="F594" s="389">
        <f>'пр.6.1.ведом.22-23 (2)'!G661</f>
        <v>1384.6</v>
      </c>
      <c r="G594" s="389">
        <f>'пр.6.1.ведом.22-23 (2)'!H661</f>
        <v>1384.6</v>
      </c>
    </row>
    <row r="595" spans="1:7" ht="31.5" x14ac:dyDescent="0.25">
      <c r="A595" s="201" t="s">
        <v>939</v>
      </c>
      <c r="B595" s="395" t="s">
        <v>264</v>
      </c>
      <c r="C595" s="395" t="s">
        <v>213</v>
      </c>
      <c r="D595" s="395" t="s">
        <v>1257</v>
      </c>
      <c r="E595" s="395"/>
      <c r="F595" s="388">
        <f>F596+F599</f>
        <v>755.8</v>
      </c>
      <c r="G595" s="388">
        <f>G596+G599</f>
        <v>759</v>
      </c>
    </row>
    <row r="596" spans="1:7" ht="63" x14ac:dyDescent="0.25">
      <c r="A596" s="180" t="s">
        <v>827</v>
      </c>
      <c r="B596" s="392" t="s">
        <v>264</v>
      </c>
      <c r="C596" s="392" t="s">
        <v>213</v>
      </c>
      <c r="D596" s="392" t="s">
        <v>1422</v>
      </c>
      <c r="E596" s="392"/>
      <c r="F596" s="389">
        <f t="shared" ref="F596:G596" si="58">F597</f>
        <v>755.8</v>
      </c>
      <c r="G596" s="389">
        <f t="shared" si="58"/>
        <v>759</v>
      </c>
    </row>
    <row r="597" spans="1:7" ht="47.25" x14ac:dyDescent="0.25">
      <c r="A597" s="31" t="s">
        <v>272</v>
      </c>
      <c r="B597" s="392" t="s">
        <v>264</v>
      </c>
      <c r="C597" s="392" t="s">
        <v>213</v>
      </c>
      <c r="D597" s="392" t="s">
        <v>1422</v>
      </c>
      <c r="E597" s="392" t="s">
        <v>273</v>
      </c>
      <c r="F597" s="389">
        <f>F598</f>
        <v>755.8</v>
      </c>
      <c r="G597" s="389">
        <f>G598</f>
        <v>759</v>
      </c>
    </row>
    <row r="598" spans="1:7" ht="15.75" x14ac:dyDescent="0.25">
      <c r="A598" s="31" t="s">
        <v>274</v>
      </c>
      <c r="B598" s="392" t="s">
        <v>264</v>
      </c>
      <c r="C598" s="392" t="s">
        <v>213</v>
      </c>
      <c r="D598" s="392" t="s">
        <v>1422</v>
      </c>
      <c r="E598" s="392" t="s">
        <v>275</v>
      </c>
      <c r="F598" s="389">
        <f>'пр.6.1.ведом.22-23 (2)'!G665</f>
        <v>755.8</v>
      </c>
      <c r="G598" s="389">
        <f>'пр.6.1.ведом.22-23 (2)'!H665</f>
        <v>759</v>
      </c>
    </row>
    <row r="599" spans="1:7" ht="31.5" hidden="1" x14ac:dyDescent="0.25">
      <c r="A599" s="301" t="s">
        <v>1421</v>
      </c>
      <c r="B599" s="392" t="s">
        <v>264</v>
      </c>
      <c r="C599" s="392" t="s">
        <v>213</v>
      </c>
      <c r="D599" s="392" t="s">
        <v>1423</v>
      </c>
      <c r="E599" s="392"/>
      <c r="F599" s="397">
        <f>F600</f>
        <v>0</v>
      </c>
      <c r="G599" s="389">
        <f>G600</f>
        <v>0</v>
      </c>
    </row>
    <row r="600" spans="1:7" ht="47.25" hidden="1" x14ac:dyDescent="0.25">
      <c r="A600" s="31" t="s">
        <v>272</v>
      </c>
      <c r="B600" s="392" t="s">
        <v>264</v>
      </c>
      <c r="C600" s="392" t="s">
        <v>213</v>
      </c>
      <c r="D600" s="392" t="s">
        <v>1423</v>
      </c>
      <c r="E600" s="392" t="s">
        <v>273</v>
      </c>
      <c r="F600" s="397">
        <f>F601</f>
        <v>0</v>
      </c>
      <c r="G600" s="389">
        <f>G601</f>
        <v>0</v>
      </c>
    </row>
    <row r="601" spans="1:7" ht="15.75" hidden="1" x14ac:dyDescent="0.25">
      <c r="A601" s="31" t="s">
        <v>274</v>
      </c>
      <c r="B601" s="392" t="s">
        <v>264</v>
      </c>
      <c r="C601" s="392" t="s">
        <v>213</v>
      </c>
      <c r="D601" s="392" t="s">
        <v>1423</v>
      </c>
      <c r="E601" s="392" t="s">
        <v>275</v>
      </c>
      <c r="F601" s="397">
        <v>0</v>
      </c>
      <c r="G601" s="389">
        <v>0</v>
      </c>
    </row>
    <row r="602" spans="1:7" ht="47.25" x14ac:dyDescent="0.25">
      <c r="A602" s="268" t="s">
        <v>1404</v>
      </c>
      <c r="B602" s="395" t="s">
        <v>264</v>
      </c>
      <c r="C602" s="395" t="s">
        <v>213</v>
      </c>
      <c r="D602" s="395" t="s">
        <v>1403</v>
      </c>
      <c r="E602" s="395"/>
      <c r="F602" s="393">
        <f t="shared" ref="F602:G604" si="59">F603</f>
        <v>5415.6500000000005</v>
      </c>
      <c r="G602" s="393">
        <f t="shared" si="59"/>
        <v>5142.4500000000007</v>
      </c>
    </row>
    <row r="603" spans="1:7" ht="78.75" x14ac:dyDescent="0.25">
      <c r="A603" s="267" t="s">
        <v>1390</v>
      </c>
      <c r="B603" s="392" t="s">
        <v>264</v>
      </c>
      <c r="C603" s="392" t="s">
        <v>213</v>
      </c>
      <c r="D603" s="392" t="s">
        <v>1442</v>
      </c>
      <c r="E603" s="392"/>
      <c r="F603" s="397">
        <f t="shared" si="59"/>
        <v>5415.6500000000005</v>
      </c>
      <c r="G603" s="397">
        <f t="shared" si="59"/>
        <v>5142.4500000000007</v>
      </c>
    </row>
    <row r="604" spans="1:7" ht="47.25" x14ac:dyDescent="0.25">
      <c r="A604" s="31" t="s">
        <v>272</v>
      </c>
      <c r="B604" s="392" t="s">
        <v>264</v>
      </c>
      <c r="C604" s="392" t="s">
        <v>213</v>
      </c>
      <c r="D604" s="392" t="s">
        <v>1442</v>
      </c>
      <c r="E604" s="392" t="s">
        <v>273</v>
      </c>
      <c r="F604" s="397">
        <f t="shared" si="59"/>
        <v>5415.6500000000005</v>
      </c>
      <c r="G604" s="397">
        <f t="shared" si="59"/>
        <v>5142.4500000000007</v>
      </c>
    </row>
    <row r="605" spans="1:7" ht="15.75" x14ac:dyDescent="0.25">
      <c r="A605" s="31" t="s">
        <v>274</v>
      </c>
      <c r="B605" s="392" t="s">
        <v>264</v>
      </c>
      <c r="C605" s="392" t="s">
        <v>213</v>
      </c>
      <c r="D605" s="392" t="s">
        <v>1442</v>
      </c>
      <c r="E605" s="392" t="s">
        <v>275</v>
      </c>
      <c r="F605" s="397">
        <f>'пр.6.1.ведом.22-23 (2)'!G672</f>
        <v>5415.6500000000005</v>
      </c>
      <c r="G605" s="389">
        <f>'пр.6.1.ведом.22-23 (2)'!H672</f>
        <v>5142.4500000000007</v>
      </c>
    </row>
    <row r="606" spans="1:7" ht="31.5" x14ac:dyDescent="0.25">
      <c r="A606" s="34" t="s">
        <v>1457</v>
      </c>
      <c r="B606" s="395" t="s">
        <v>264</v>
      </c>
      <c r="C606" s="395" t="s">
        <v>213</v>
      </c>
      <c r="D606" s="395" t="s">
        <v>1455</v>
      </c>
      <c r="E606" s="395"/>
      <c r="F606" s="393">
        <f t="shared" ref="F606:G608" si="60">F607</f>
        <v>1749.4499999999998</v>
      </c>
      <c r="G606" s="393">
        <f t="shared" si="60"/>
        <v>2341</v>
      </c>
    </row>
    <row r="607" spans="1:7" ht="47.25" x14ac:dyDescent="0.25">
      <c r="A607" s="31" t="s">
        <v>1504</v>
      </c>
      <c r="B607" s="392" t="s">
        <v>264</v>
      </c>
      <c r="C607" s="392" t="s">
        <v>213</v>
      </c>
      <c r="D607" s="392" t="s">
        <v>1456</v>
      </c>
      <c r="E607" s="392"/>
      <c r="F607" s="397">
        <f t="shared" si="60"/>
        <v>1749.4499999999998</v>
      </c>
      <c r="G607" s="397">
        <f t="shared" si="60"/>
        <v>2341</v>
      </c>
    </row>
    <row r="608" spans="1:7" ht="47.25" x14ac:dyDescent="0.25">
      <c r="A608" s="31" t="s">
        <v>272</v>
      </c>
      <c r="B608" s="392" t="s">
        <v>264</v>
      </c>
      <c r="C608" s="392" t="s">
        <v>213</v>
      </c>
      <c r="D608" s="392" t="s">
        <v>1456</v>
      </c>
      <c r="E608" s="392" t="s">
        <v>273</v>
      </c>
      <c r="F608" s="397">
        <f t="shared" si="60"/>
        <v>1749.4499999999998</v>
      </c>
      <c r="G608" s="397">
        <f t="shared" si="60"/>
        <v>2341</v>
      </c>
    </row>
    <row r="609" spans="1:7" ht="15.75" x14ac:dyDescent="0.25">
      <c r="A609" s="31" t="s">
        <v>274</v>
      </c>
      <c r="B609" s="392" t="s">
        <v>264</v>
      </c>
      <c r="C609" s="392" t="s">
        <v>213</v>
      </c>
      <c r="D609" s="392" t="s">
        <v>1456</v>
      </c>
      <c r="E609" s="392" t="s">
        <v>275</v>
      </c>
      <c r="F609" s="397">
        <f>'пр.6.1.ведом.22-23 (2)'!G680</f>
        <v>1749.4499999999998</v>
      </c>
      <c r="G609" s="397">
        <f>'пр.6.1.ведом.22-23 (2)'!H680</f>
        <v>2341</v>
      </c>
    </row>
    <row r="610" spans="1:7" ht="63" x14ac:dyDescent="0.25">
      <c r="A610" s="34" t="s">
        <v>1356</v>
      </c>
      <c r="B610" s="395" t="s">
        <v>264</v>
      </c>
      <c r="C610" s="395" t="s">
        <v>213</v>
      </c>
      <c r="D610" s="395" t="s">
        <v>324</v>
      </c>
      <c r="E610" s="395"/>
      <c r="F610" s="388">
        <f t="shared" ref="F610:G613" si="61">F611</f>
        <v>60</v>
      </c>
      <c r="G610" s="388">
        <f t="shared" si="61"/>
        <v>70</v>
      </c>
    </row>
    <row r="611" spans="1:7" ht="63" x14ac:dyDescent="0.25">
      <c r="A611" s="34" t="s">
        <v>1023</v>
      </c>
      <c r="B611" s="395" t="s">
        <v>264</v>
      </c>
      <c r="C611" s="395" t="s">
        <v>213</v>
      </c>
      <c r="D611" s="395" t="s">
        <v>933</v>
      </c>
      <c r="E611" s="395"/>
      <c r="F611" s="388">
        <f t="shared" si="61"/>
        <v>60</v>
      </c>
      <c r="G611" s="388">
        <f t="shared" si="61"/>
        <v>70</v>
      </c>
    </row>
    <row r="612" spans="1:7" ht="47.25" x14ac:dyDescent="0.25">
      <c r="A612" s="31" t="s">
        <v>1007</v>
      </c>
      <c r="B612" s="392" t="s">
        <v>264</v>
      </c>
      <c r="C612" s="392" t="s">
        <v>213</v>
      </c>
      <c r="D612" s="392" t="s">
        <v>934</v>
      </c>
      <c r="E612" s="392"/>
      <c r="F612" s="389">
        <f t="shared" si="61"/>
        <v>60</v>
      </c>
      <c r="G612" s="389">
        <f t="shared" si="61"/>
        <v>70</v>
      </c>
    </row>
    <row r="613" spans="1:7" ht="47.25" x14ac:dyDescent="0.25">
      <c r="A613" s="31" t="s">
        <v>272</v>
      </c>
      <c r="B613" s="392" t="s">
        <v>264</v>
      </c>
      <c r="C613" s="392" t="s">
        <v>213</v>
      </c>
      <c r="D613" s="392" t="s">
        <v>934</v>
      </c>
      <c r="E613" s="392" t="s">
        <v>273</v>
      </c>
      <c r="F613" s="389">
        <f t="shared" si="61"/>
        <v>60</v>
      </c>
      <c r="G613" s="389">
        <f t="shared" si="61"/>
        <v>70</v>
      </c>
    </row>
    <row r="614" spans="1:7" ht="15.75" x14ac:dyDescent="0.25">
      <c r="A614" s="31" t="s">
        <v>274</v>
      </c>
      <c r="B614" s="392" t="s">
        <v>264</v>
      </c>
      <c r="C614" s="392" t="s">
        <v>213</v>
      </c>
      <c r="D614" s="392" t="s">
        <v>934</v>
      </c>
      <c r="E614" s="392" t="s">
        <v>275</v>
      </c>
      <c r="F614" s="389">
        <f>'пр.7.1.МП 22-23 (2)'!G621</f>
        <v>60</v>
      </c>
      <c r="G614" s="389">
        <f>'пр.7.1.МП 22-23 (2)'!H621</f>
        <v>70</v>
      </c>
    </row>
    <row r="615" spans="1:7" ht="63" x14ac:dyDescent="0.25">
      <c r="A615" s="400" t="s">
        <v>1351</v>
      </c>
      <c r="B615" s="395" t="s">
        <v>264</v>
      </c>
      <c r="C615" s="395" t="s">
        <v>213</v>
      </c>
      <c r="D615" s="395" t="s">
        <v>705</v>
      </c>
      <c r="E615" s="403"/>
      <c r="F615" s="388">
        <f t="shared" ref="F615:G616" si="62">F616</f>
        <v>870.5</v>
      </c>
      <c r="G615" s="388">
        <f t="shared" si="62"/>
        <v>905.3</v>
      </c>
    </row>
    <row r="616" spans="1:7" ht="63" x14ac:dyDescent="0.25">
      <c r="A616" s="400" t="s">
        <v>889</v>
      </c>
      <c r="B616" s="395" t="s">
        <v>264</v>
      </c>
      <c r="C616" s="395" t="s">
        <v>213</v>
      </c>
      <c r="D616" s="395" t="s">
        <v>887</v>
      </c>
      <c r="E616" s="403"/>
      <c r="F616" s="388">
        <f t="shared" si="62"/>
        <v>870.5</v>
      </c>
      <c r="G616" s="388">
        <f t="shared" si="62"/>
        <v>905.3</v>
      </c>
    </row>
    <row r="617" spans="1:7" ht="47.25" x14ac:dyDescent="0.25">
      <c r="A617" s="98" t="s">
        <v>780</v>
      </c>
      <c r="B617" s="392" t="s">
        <v>264</v>
      </c>
      <c r="C617" s="392" t="s">
        <v>213</v>
      </c>
      <c r="D617" s="392" t="s">
        <v>935</v>
      </c>
      <c r="E617" s="398"/>
      <c r="F617" s="389">
        <f>F618</f>
        <v>870.5</v>
      </c>
      <c r="G617" s="389">
        <f>G618</f>
        <v>905.3</v>
      </c>
    </row>
    <row r="618" spans="1:7" ht="47.25" x14ac:dyDescent="0.25">
      <c r="A618" s="29" t="s">
        <v>272</v>
      </c>
      <c r="B618" s="392" t="s">
        <v>264</v>
      </c>
      <c r="C618" s="392" t="s">
        <v>213</v>
      </c>
      <c r="D618" s="392" t="s">
        <v>935</v>
      </c>
      <c r="E618" s="398" t="s">
        <v>273</v>
      </c>
      <c r="F618" s="389">
        <f>F619</f>
        <v>870.5</v>
      </c>
      <c r="G618" s="389">
        <f>G619</f>
        <v>905.3</v>
      </c>
    </row>
    <row r="619" spans="1:7" ht="15.75" x14ac:dyDescent="0.25">
      <c r="A619" s="180" t="s">
        <v>274</v>
      </c>
      <c r="B619" s="392" t="s">
        <v>264</v>
      </c>
      <c r="C619" s="392" t="s">
        <v>213</v>
      </c>
      <c r="D619" s="392" t="s">
        <v>935</v>
      </c>
      <c r="E619" s="398" t="s">
        <v>275</v>
      </c>
      <c r="F619" s="389">
        <f>'пр.6.1.ведом.22-23 (2)'!G690</f>
        <v>870.5</v>
      </c>
      <c r="G619" s="389">
        <f>'пр.6.1.ведом.22-23 (2)'!H690</f>
        <v>905.3</v>
      </c>
    </row>
    <row r="620" spans="1:7" ht="15.75" x14ac:dyDescent="0.25">
      <c r="A620" s="400" t="s">
        <v>265</v>
      </c>
      <c r="B620" s="7" t="s">
        <v>264</v>
      </c>
      <c r="C620" s="7" t="s">
        <v>215</v>
      </c>
      <c r="D620" s="395"/>
      <c r="E620" s="7"/>
      <c r="F620" s="388">
        <f>F621+F644+F681+F676</f>
        <v>60278.110000000008</v>
      </c>
      <c r="G620" s="388">
        <f>G621+G644+G681+G676</f>
        <v>60303.91</v>
      </c>
    </row>
    <row r="621" spans="1:7" ht="47.25" x14ac:dyDescent="0.25">
      <c r="A621" s="394" t="s">
        <v>1357</v>
      </c>
      <c r="B621" s="395" t="s">
        <v>264</v>
      </c>
      <c r="C621" s="395" t="s">
        <v>215</v>
      </c>
      <c r="D621" s="395" t="s">
        <v>406</v>
      </c>
      <c r="E621" s="395"/>
      <c r="F621" s="388">
        <f>F622+F626+F640</f>
        <v>40748.800000000003</v>
      </c>
      <c r="G621" s="388">
        <f>G622+G626+G640</f>
        <v>40748.800000000003</v>
      </c>
    </row>
    <row r="622" spans="1:7" ht="47.25" x14ac:dyDescent="0.25">
      <c r="A622" s="394" t="s">
        <v>936</v>
      </c>
      <c r="B622" s="395" t="s">
        <v>264</v>
      </c>
      <c r="C622" s="395" t="s">
        <v>215</v>
      </c>
      <c r="D622" s="395" t="s">
        <v>1228</v>
      </c>
      <c r="E622" s="395"/>
      <c r="F622" s="388">
        <f t="shared" ref="F622:G622" si="63">F623</f>
        <v>37056.300000000003</v>
      </c>
      <c r="G622" s="388">
        <f t="shared" si="63"/>
        <v>37056.300000000003</v>
      </c>
    </row>
    <row r="623" spans="1:7" ht="47.25" x14ac:dyDescent="0.25">
      <c r="A623" s="396" t="s">
        <v>270</v>
      </c>
      <c r="B623" s="392" t="s">
        <v>264</v>
      </c>
      <c r="C623" s="392" t="s">
        <v>215</v>
      </c>
      <c r="D623" s="392" t="s">
        <v>1258</v>
      </c>
      <c r="E623" s="392"/>
      <c r="F623" s="389">
        <f>F624</f>
        <v>37056.300000000003</v>
      </c>
      <c r="G623" s="389">
        <f>G624</f>
        <v>37056.300000000003</v>
      </c>
    </row>
    <row r="624" spans="1:7" ht="47.25" x14ac:dyDescent="0.25">
      <c r="A624" s="396" t="s">
        <v>272</v>
      </c>
      <c r="B624" s="392" t="s">
        <v>264</v>
      </c>
      <c r="C624" s="392" t="s">
        <v>215</v>
      </c>
      <c r="D624" s="392" t="s">
        <v>1258</v>
      </c>
      <c r="E624" s="392" t="s">
        <v>273</v>
      </c>
      <c r="F624" s="389">
        <f>F625</f>
        <v>37056.300000000003</v>
      </c>
      <c r="G624" s="389">
        <f>G625</f>
        <v>37056.300000000003</v>
      </c>
    </row>
    <row r="625" spans="1:7" ht="15.75" x14ac:dyDescent="0.25">
      <c r="A625" s="396" t="s">
        <v>274</v>
      </c>
      <c r="B625" s="392" t="s">
        <v>264</v>
      </c>
      <c r="C625" s="392" t="s">
        <v>215</v>
      </c>
      <c r="D625" s="392" t="s">
        <v>1258</v>
      </c>
      <c r="E625" s="392" t="s">
        <v>275</v>
      </c>
      <c r="F625" s="389">
        <f>'пр.6.1.ведом.22-23 (2)'!G696</f>
        <v>37056.300000000003</v>
      </c>
      <c r="G625" s="389">
        <f>'пр.6.1.ведом.22-23 (2)'!H696</f>
        <v>37056.300000000003</v>
      </c>
    </row>
    <row r="626" spans="1:7" ht="47.25" x14ac:dyDescent="0.25">
      <c r="A626" s="394" t="s">
        <v>899</v>
      </c>
      <c r="B626" s="395" t="s">
        <v>264</v>
      </c>
      <c r="C626" s="395" t="s">
        <v>215</v>
      </c>
      <c r="D626" s="395" t="s">
        <v>1230</v>
      </c>
      <c r="E626" s="395"/>
      <c r="F626" s="388">
        <f>F630+F633+F627</f>
        <v>2128.5</v>
      </c>
      <c r="G626" s="388">
        <f>G630+G633+G627</f>
        <v>2128.5</v>
      </c>
    </row>
    <row r="627" spans="1:7" ht="110.25" x14ac:dyDescent="0.25">
      <c r="A627" s="31" t="s">
        <v>293</v>
      </c>
      <c r="B627" s="392" t="s">
        <v>264</v>
      </c>
      <c r="C627" s="392" t="s">
        <v>215</v>
      </c>
      <c r="D627" s="392" t="s">
        <v>1389</v>
      </c>
      <c r="E627" s="392"/>
      <c r="F627" s="389">
        <f>F628</f>
        <v>1400</v>
      </c>
      <c r="G627" s="389">
        <f>G628</f>
        <v>1400</v>
      </c>
    </row>
    <row r="628" spans="1:7" ht="47.25" x14ac:dyDescent="0.25">
      <c r="A628" s="396" t="s">
        <v>272</v>
      </c>
      <c r="B628" s="392" t="s">
        <v>264</v>
      </c>
      <c r="C628" s="392" t="s">
        <v>215</v>
      </c>
      <c r="D628" s="392" t="s">
        <v>1389</v>
      </c>
      <c r="E628" s="392" t="s">
        <v>273</v>
      </c>
      <c r="F628" s="389">
        <f>F629</f>
        <v>1400</v>
      </c>
      <c r="G628" s="389">
        <f>G629</f>
        <v>1400</v>
      </c>
    </row>
    <row r="629" spans="1:7" ht="15.75" x14ac:dyDescent="0.25">
      <c r="A629" s="396" t="s">
        <v>274</v>
      </c>
      <c r="B629" s="392" t="s">
        <v>264</v>
      </c>
      <c r="C629" s="392" t="s">
        <v>215</v>
      </c>
      <c r="D629" s="392" t="s">
        <v>1389</v>
      </c>
      <c r="E629" s="392" t="s">
        <v>275</v>
      </c>
      <c r="F629" s="389">
        <f>'пр.6.1.ведом.22-23 (2)'!G700</f>
        <v>1400</v>
      </c>
      <c r="G629" s="389">
        <f>'пр.6.1.ведом.22-23 (2)'!H700</f>
        <v>1400</v>
      </c>
    </row>
    <row r="630" spans="1:7" ht="63" x14ac:dyDescent="0.25">
      <c r="A630" s="31" t="s">
        <v>289</v>
      </c>
      <c r="B630" s="392" t="s">
        <v>264</v>
      </c>
      <c r="C630" s="392" t="s">
        <v>215</v>
      </c>
      <c r="D630" s="392" t="s">
        <v>1231</v>
      </c>
      <c r="E630" s="392"/>
      <c r="F630" s="389">
        <f>F631</f>
        <v>179</v>
      </c>
      <c r="G630" s="389">
        <f>G631</f>
        <v>179</v>
      </c>
    </row>
    <row r="631" spans="1:7" ht="47.25" x14ac:dyDescent="0.25">
      <c r="A631" s="396" t="s">
        <v>272</v>
      </c>
      <c r="B631" s="392" t="s">
        <v>264</v>
      </c>
      <c r="C631" s="392" t="s">
        <v>215</v>
      </c>
      <c r="D631" s="392" t="s">
        <v>1231</v>
      </c>
      <c r="E631" s="392" t="s">
        <v>273</v>
      </c>
      <c r="F631" s="389">
        <f>F632</f>
        <v>179</v>
      </c>
      <c r="G631" s="389">
        <f>G632</f>
        <v>179</v>
      </c>
    </row>
    <row r="632" spans="1:7" ht="15.75" x14ac:dyDescent="0.25">
      <c r="A632" s="396" t="s">
        <v>274</v>
      </c>
      <c r="B632" s="392" t="s">
        <v>264</v>
      </c>
      <c r="C632" s="392" t="s">
        <v>215</v>
      </c>
      <c r="D632" s="392" t="s">
        <v>1231</v>
      </c>
      <c r="E632" s="392" t="s">
        <v>275</v>
      </c>
      <c r="F632" s="389">
        <f>'пр.6.1.ведом.22-23 (2)'!G703</f>
        <v>179</v>
      </c>
      <c r="G632" s="389">
        <f>'пр.6.1.ведом.22-23 (2)'!H703</f>
        <v>179</v>
      </c>
    </row>
    <row r="633" spans="1:7" ht="78.75" x14ac:dyDescent="0.25">
      <c r="A633" s="31" t="s">
        <v>291</v>
      </c>
      <c r="B633" s="392" t="s">
        <v>264</v>
      </c>
      <c r="C633" s="392" t="s">
        <v>215</v>
      </c>
      <c r="D633" s="392" t="s">
        <v>1232</v>
      </c>
      <c r="E633" s="392"/>
      <c r="F633" s="389">
        <f>F634</f>
        <v>549.5</v>
      </c>
      <c r="G633" s="389">
        <f>G634</f>
        <v>549.5</v>
      </c>
    </row>
    <row r="634" spans="1:7" ht="47.25" x14ac:dyDescent="0.25">
      <c r="A634" s="396" t="s">
        <v>272</v>
      </c>
      <c r="B634" s="392" t="s">
        <v>264</v>
      </c>
      <c r="C634" s="392" t="s">
        <v>215</v>
      </c>
      <c r="D634" s="392" t="s">
        <v>1232</v>
      </c>
      <c r="E634" s="392" t="s">
        <v>273</v>
      </c>
      <c r="F634" s="389">
        <f>F635</f>
        <v>549.5</v>
      </c>
      <c r="G634" s="389">
        <f>G635</f>
        <v>549.5</v>
      </c>
    </row>
    <row r="635" spans="1:7" ht="15.75" x14ac:dyDescent="0.25">
      <c r="A635" s="396" t="s">
        <v>274</v>
      </c>
      <c r="B635" s="392" t="s">
        <v>264</v>
      </c>
      <c r="C635" s="392" t="s">
        <v>215</v>
      </c>
      <c r="D635" s="392" t="s">
        <v>1232</v>
      </c>
      <c r="E635" s="392" t="s">
        <v>275</v>
      </c>
      <c r="F635" s="389">
        <f>'пр.6.1.ведом.22-23 (2)'!G706</f>
        <v>549.5</v>
      </c>
      <c r="G635" s="389">
        <f>'пр.6.1.ведом.22-23 (2)'!H706</f>
        <v>549.5</v>
      </c>
    </row>
    <row r="636" spans="1:7" ht="31.5" hidden="1" x14ac:dyDescent="0.25">
      <c r="A636" s="394" t="s">
        <v>1290</v>
      </c>
      <c r="B636" s="395" t="s">
        <v>264</v>
      </c>
      <c r="C636" s="395" t="s">
        <v>215</v>
      </c>
      <c r="D636" s="395" t="s">
        <v>1235</v>
      </c>
      <c r="E636" s="395"/>
      <c r="F636" s="388">
        <f>F637</f>
        <v>0</v>
      </c>
      <c r="G636" s="388">
        <f>G637</f>
        <v>0</v>
      </c>
    </row>
    <row r="637" spans="1:7" ht="31.5" hidden="1" x14ac:dyDescent="0.25">
      <c r="A637" s="45" t="s">
        <v>766</v>
      </c>
      <c r="B637" s="392" t="s">
        <v>264</v>
      </c>
      <c r="C637" s="392" t="s">
        <v>215</v>
      </c>
      <c r="D637" s="392" t="s">
        <v>1327</v>
      </c>
      <c r="E637" s="392"/>
      <c r="F637" s="389">
        <f>'[1]Пр.4 Рд,пр, ЦС,ВР 21'!F630</f>
        <v>0</v>
      </c>
      <c r="G637" s="389">
        <f t="shared" ref="G637:G661" si="64">F637</f>
        <v>0</v>
      </c>
    </row>
    <row r="638" spans="1:7" ht="47.25" hidden="1" x14ac:dyDescent="0.25">
      <c r="A638" s="31" t="s">
        <v>272</v>
      </c>
      <c r="B638" s="392" t="s">
        <v>264</v>
      </c>
      <c r="C638" s="392" t="s">
        <v>215</v>
      </c>
      <c r="D638" s="392" t="s">
        <v>1327</v>
      </c>
      <c r="E638" s="392" t="s">
        <v>273</v>
      </c>
      <c r="F638" s="389">
        <f>'[1]Пр.4 Рд,пр, ЦС,ВР 21'!F631</f>
        <v>0</v>
      </c>
      <c r="G638" s="389">
        <f t="shared" si="64"/>
        <v>0</v>
      </c>
    </row>
    <row r="639" spans="1:7" ht="15.75" hidden="1" x14ac:dyDescent="0.25">
      <c r="A639" s="31" t="s">
        <v>274</v>
      </c>
      <c r="B639" s="392" t="s">
        <v>264</v>
      </c>
      <c r="C639" s="392" t="s">
        <v>215</v>
      </c>
      <c r="D639" s="392" t="s">
        <v>1327</v>
      </c>
      <c r="E639" s="392" t="s">
        <v>275</v>
      </c>
      <c r="F639" s="389">
        <f>'[1]Пр.4 Рд,пр, ЦС,ВР 21'!F632</f>
        <v>0</v>
      </c>
      <c r="G639" s="389">
        <f t="shared" si="64"/>
        <v>0</v>
      </c>
    </row>
    <row r="640" spans="1:7" ht="47.25" x14ac:dyDescent="0.25">
      <c r="A640" s="203" t="s">
        <v>947</v>
      </c>
      <c r="B640" s="395" t="s">
        <v>264</v>
      </c>
      <c r="C640" s="395" t="s">
        <v>215</v>
      </c>
      <c r="D640" s="395" t="s">
        <v>1238</v>
      </c>
      <c r="E640" s="395"/>
      <c r="F640" s="388">
        <f t="shared" ref="F640:G642" si="65">F641</f>
        <v>1564</v>
      </c>
      <c r="G640" s="388">
        <f t="shared" si="65"/>
        <v>1564</v>
      </c>
    </row>
    <row r="641" spans="1:7" ht="47.25" x14ac:dyDescent="0.25">
      <c r="A641" s="45" t="s">
        <v>764</v>
      </c>
      <c r="B641" s="392" t="s">
        <v>264</v>
      </c>
      <c r="C641" s="392" t="s">
        <v>215</v>
      </c>
      <c r="D641" s="392" t="s">
        <v>1239</v>
      </c>
      <c r="E641" s="392"/>
      <c r="F641" s="389">
        <f t="shared" si="65"/>
        <v>1564</v>
      </c>
      <c r="G641" s="389">
        <f t="shared" si="65"/>
        <v>1564</v>
      </c>
    </row>
    <row r="642" spans="1:7" ht="47.25" x14ac:dyDescent="0.25">
      <c r="A642" s="396" t="s">
        <v>272</v>
      </c>
      <c r="B642" s="392" t="s">
        <v>264</v>
      </c>
      <c r="C642" s="392" t="s">
        <v>215</v>
      </c>
      <c r="D642" s="392" t="s">
        <v>1239</v>
      </c>
      <c r="E642" s="392" t="s">
        <v>273</v>
      </c>
      <c r="F642" s="389">
        <f t="shared" si="65"/>
        <v>1564</v>
      </c>
      <c r="G642" s="389">
        <f t="shared" si="65"/>
        <v>1564</v>
      </c>
    </row>
    <row r="643" spans="1:7" ht="15.75" x14ac:dyDescent="0.25">
      <c r="A643" s="31" t="s">
        <v>274</v>
      </c>
      <c r="B643" s="392" t="s">
        <v>264</v>
      </c>
      <c r="C643" s="392" t="s">
        <v>215</v>
      </c>
      <c r="D643" s="392" t="s">
        <v>1239</v>
      </c>
      <c r="E643" s="392" t="s">
        <v>275</v>
      </c>
      <c r="F643" s="389">
        <f>'пр.6.1.ведом.22-23 (2)'!G714</f>
        <v>1564</v>
      </c>
      <c r="G643" s="389">
        <f>'пр.6.1.ведом.22-23 (2)'!H714</f>
        <v>1564</v>
      </c>
    </row>
    <row r="644" spans="1:7" ht="47.25" x14ac:dyDescent="0.25">
      <c r="A644" s="394" t="s">
        <v>1350</v>
      </c>
      <c r="B644" s="395" t="s">
        <v>264</v>
      </c>
      <c r="C644" s="395" t="s">
        <v>215</v>
      </c>
      <c r="D644" s="395" t="s">
        <v>267</v>
      </c>
      <c r="E644" s="395"/>
      <c r="F644" s="388">
        <f>F645+F653+F662+F666</f>
        <v>18730.410000000003</v>
      </c>
      <c r="G644" s="388">
        <f>G645+G653+G662+G666</f>
        <v>18730.410000000003</v>
      </c>
    </row>
    <row r="645" spans="1:7" ht="47.25" x14ac:dyDescent="0.25">
      <c r="A645" s="394" t="s">
        <v>1297</v>
      </c>
      <c r="B645" s="395" t="s">
        <v>264</v>
      </c>
      <c r="C645" s="395" t="s">
        <v>215</v>
      </c>
      <c r="D645" s="395" t="s">
        <v>1201</v>
      </c>
      <c r="E645" s="395"/>
      <c r="F645" s="388">
        <f>F646</f>
        <v>15854.01</v>
      </c>
      <c r="G645" s="388">
        <f>G646</f>
        <v>15854.01</v>
      </c>
    </row>
    <row r="646" spans="1:7" ht="31.5" x14ac:dyDescent="0.25">
      <c r="A646" s="396" t="s">
        <v>800</v>
      </c>
      <c r="B646" s="392" t="s">
        <v>264</v>
      </c>
      <c r="C646" s="392" t="s">
        <v>215</v>
      </c>
      <c r="D646" s="392" t="s">
        <v>1202</v>
      </c>
      <c r="E646" s="392"/>
      <c r="F646" s="389">
        <f>F647+F649+F651</f>
        <v>15854.01</v>
      </c>
      <c r="G646" s="389">
        <f>G647+G649+G651</f>
        <v>15854.01</v>
      </c>
    </row>
    <row r="647" spans="1:7" ht="94.5" x14ac:dyDescent="0.25">
      <c r="A647" s="396" t="s">
        <v>127</v>
      </c>
      <c r="B647" s="392" t="s">
        <v>264</v>
      </c>
      <c r="C647" s="392" t="s">
        <v>215</v>
      </c>
      <c r="D647" s="392" t="s">
        <v>1202</v>
      </c>
      <c r="E647" s="392" t="s">
        <v>128</v>
      </c>
      <c r="F647" s="389">
        <f>F648</f>
        <v>14172.31</v>
      </c>
      <c r="G647" s="389">
        <f>G648</f>
        <v>14172.31</v>
      </c>
    </row>
    <row r="648" spans="1:7" ht="31.5" x14ac:dyDescent="0.25">
      <c r="A648" s="46" t="s">
        <v>342</v>
      </c>
      <c r="B648" s="392" t="s">
        <v>264</v>
      </c>
      <c r="C648" s="392" t="s">
        <v>215</v>
      </c>
      <c r="D648" s="392" t="s">
        <v>1202</v>
      </c>
      <c r="E648" s="392" t="s">
        <v>209</v>
      </c>
      <c r="F648" s="389">
        <f>'пр.6.1.ведом.22-23 (2)'!G299</f>
        <v>14172.31</v>
      </c>
      <c r="G648" s="389">
        <f>'пр.6.1.ведом.22-23 (2)'!H299</f>
        <v>14172.31</v>
      </c>
    </row>
    <row r="649" spans="1:7" ht="31.5" x14ac:dyDescent="0.25">
      <c r="A649" s="396" t="s">
        <v>131</v>
      </c>
      <c r="B649" s="392" t="s">
        <v>264</v>
      </c>
      <c r="C649" s="392" t="s">
        <v>215</v>
      </c>
      <c r="D649" s="392" t="s">
        <v>1202</v>
      </c>
      <c r="E649" s="392" t="s">
        <v>132</v>
      </c>
      <c r="F649" s="389">
        <f>F650</f>
        <v>1603.7</v>
      </c>
      <c r="G649" s="389">
        <f>G650</f>
        <v>1603.7</v>
      </c>
    </row>
    <row r="650" spans="1:7" ht="47.25" x14ac:dyDescent="0.25">
      <c r="A650" s="396" t="s">
        <v>133</v>
      </c>
      <c r="B650" s="392" t="s">
        <v>264</v>
      </c>
      <c r="C650" s="392" t="s">
        <v>215</v>
      </c>
      <c r="D650" s="392" t="s">
        <v>1202</v>
      </c>
      <c r="E650" s="392" t="s">
        <v>134</v>
      </c>
      <c r="F650" s="389">
        <f>'пр.6.1.ведом.22-23 (2)'!G301</f>
        <v>1603.7</v>
      </c>
      <c r="G650" s="389">
        <f>'пр.6.1.ведом.22-23 (2)'!H301</f>
        <v>1603.7</v>
      </c>
    </row>
    <row r="651" spans="1:7" ht="15.75" x14ac:dyDescent="0.25">
      <c r="A651" s="396" t="s">
        <v>135</v>
      </c>
      <c r="B651" s="392" t="s">
        <v>264</v>
      </c>
      <c r="C651" s="392" t="s">
        <v>215</v>
      </c>
      <c r="D651" s="392" t="s">
        <v>1202</v>
      </c>
      <c r="E651" s="392" t="s">
        <v>145</v>
      </c>
      <c r="F651" s="389">
        <f>F652</f>
        <v>78</v>
      </c>
      <c r="G651" s="389">
        <f>G652</f>
        <v>78</v>
      </c>
    </row>
    <row r="652" spans="1:7" ht="15.75" x14ac:dyDescent="0.25">
      <c r="A652" s="396" t="s">
        <v>704</v>
      </c>
      <c r="B652" s="392" t="s">
        <v>264</v>
      </c>
      <c r="C652" s="392" t="s">
        <v>215</v>
      </c>
      <c r="D652" s="392" t="s">
        <v>1202</v>
      </c>
      <c r="E652" s="392" t="s">
        <v>138</v>
      </c>
      <c r="F652" s="389">
        <f>'пр.6.1.ведом.22-23 (2)'!G303</f>
        <v>78</v>
      </c>
      <c r="G652" s="389">
        <f>'пр.6.1.ведом.22-23 (2)'!H303</f>
        <v>78</v>
      </c>
    </row>
    <row r="653" spans="1:7" ht="31.5" x14ac:dyDescent="0.25">
      <c r="A653" s="200" t="s">
        <v>1299</v>
      </c>
      <c r="B653" s="395" t="s">
        <v>264</v>
      </c>
      <c r="C653" s="395" t="s">
        <v>215</v>
      </c>
      <c r="D653" s="395" t="s">
        <v>1203</v>
      </c>
      <c r="E653" s="395"/>
      <c r="F653" s="388">
        <f>F654+F657</f>
        <v>1295</v>
      </c>
      <c r="G653" s="388">
        <f>G654+G657</f>
        <v>1295</v>
      </c>
    </row>
    <row r="654" spans="1:7" ht="31.5" x14ac:dyDescent="0.25">
      <c r="A654" s="188" t="s">
        <v>799</v>
      </c>
      <c r="B654" s="392" t="s">
        <v>264</v>
      </c>
      <c r="C654" s="392" t="s">
        <v>215</v>
      </c>
      <c r="D654" s="392" t="s">
        <v>1204</v>
      </c>
      <c r="E654" s="392"/>
      <c r="F654" s="389">
        <f t="shared" ref="F654:G655" si="66">F655</f>
        <v>45</v>
      </c>
      <c r="G654" s="389">
        <f t="shared" si="66"/>
        <v>45</v>
      </c>
    </row>
    <row r="655" spans="1:7" ht="31.5" x14ac:dyDescent="0.25">
      <c r="A655" s="396" t="s">
        <v>248</v>
      </c>
      <c r="B655" s="392" t="s">
        <v>264</v>
      </c>
      <c r="C655" s="392" t="s">
        <v>215</v>
      </c>
      <c r="D655" s="392" t="s">
        <v>1204</v>
      </c>
      <c r="E655" s="392" t="s">
        <v>249</v>
      </c>
      <c r="F655" s="389">
        <f t="shared" si="66"/>
        <v>45</v>
      </c>
      <c r="G655" s="389">
        <f t="shared" si="66"/>
        <v>45</v>
      </c>
    </row>
    <row r="656" spans="1:7" ht="15.75" x14ac:dyDescent="0.25">
      <c r="A656" s="396" t="s">
        <v>819</v>
      </c>
      <c r="B656" s="392" t="s">
        <v>264</v>
      </c>
      <c r="C656" s="392" t="s">
        <v>215</v>
      </c>
      <c r="D656" s="392" t="s">
        <v>1204</v>
      </c>
      <c r="E656" s="392" t="s">
        <v>818</v>
      </c>
      <c r="F656" s="389">
        <f>'пр.6.1.ведом.22-23 (2)'!G307</f>
        <v>45</v>
      </c>
      <c r="G656" s="389">
        <f>'пр.6.1.ведом.22-23 (2)'!H307</f>
        <v>45</v>
      </c>
    </row>
    <row r="657" spans="1:7" ht="31.5" x14ac:dyDescent="0.25">
      <c r="A657" s="31" t="s">
        <v>815</v>
      </c>
      <c r="B657" s="392" t="s">
        <v>264</v>
      </c>
      <c r="C657" s="392" t="s">
        <v>215</v>
      </c>
      <c r="D657" s="392" t="s">
        <v>1205</v>
      </c>
      <c r="E657" s="392"/>
      <c r="F657" s="389">
        <f t="shared" ref="F657:G658" si="67">F658</f>
        <v>1250</v>
      </c>
      <c r="G657" s="389">
        <f t="shared" si="67"/>
        <v>1250</v>
      </c>
    </row>
    <row r="658" spans="1:7" ht="94.5" x14ac:dyDescent="0.25">
      <c r="A658" s="396" t="s">
        <v>127</v>
      </c>
      <c r="B658" s="392" t="s">
        <v>264</v>
      </c>
      <c r="C658" s="392" t="s">
        <v>215</v>
      </c>
      <c r="D658" s="392" t="s">
        <v>1205</v>
      </c>
      <c r="E658" s="392" t="s">
        <v>128</v>
      </c>
      <c r="F658" s="389">
        <f t="shared" si="67"/>
        <v>1250</v>
      </c>
      <c r="G658" s="389">
        <f t="shared" si="67"/>
        <v>1250</v>
      </c>
    </row>
    <row r="659" spans="1:7" ht="31.5" x14ac:dyDescent="0.25">
      <c r="A659" s="46" t="s">
        <v>342</v>
      </c>
      <c r="B659" s="392" t="s">
        <v>264</v>
      </c>
      <c r="C659" s="392" t="s">
        <v>215</v>
      </c>
      <c r="D659" s="392" t="s">
        <v>1205</v>
      </c>
      <c r="E659" s="392" t="s">
        <v>209</v>
      </c>
      <c r="F659" s="389">
        <f>'пр.6.1.ведом.22-23 (2)'!G310</f>
        <v>1250</v>
      </c>
      <c r="G659" s="389">
        <f>'пр.6.1.ведом.22-23 (2)'!H310</f>
        <v>1250</v>
      </c>
    </row>
    <row r="660" spans="1:7" ht="31.5" hidden="1" x14ac:dyDescent="0.25">
      <c r="A660" s="396" t="s">
        <v>131</v>
      </c>
      <c r="B660" s="392" t="s">
        <v>264</v>
      </c>
      <c r="C660" s="392" t="s">
        <v>215</v>
      </c>
      <c r="D660" s="392" t="s">
        <v>1205</v>
      </c>
      <c r="E660" s="392" t="s">
        <v>132</v>
      </c>
      <c r="F660" s="389">
        <f>'[1]Пр.4 Рд,пр, ЦС,ВР 21'!F656</f>
        <v>0</v>
      </c>
      <c r="G660" s="389">
        <f t="shared" si="64"/>
        <v>0</v>
      </c>
    </row>
    <row r="661" spans="1:7" ht="47.25" hidden="1" x14ac:dyDescent="0.25">
      <c r="A661" s="396" t="s">
        <v>133</v>
      </c>
      <c r="B661" s="392" t="s">
        <v>264</v>
      </c>
      <c r="C661" s="392" t="s">
        <v>215</v>
      </c>
      <c r="D661" s="392" t="s">
        <v>1205</v>
      </c>
      <c r="E661" s="392" t="s">
        <v>134</v>
      </c>
      <c r="F661" s="389">
        <f>'[1]Пр.4 Рд,пр, ЦС,ВР 21'!F657</f>
        <v>0</v>
      </c>
      <c r="G661" s="389">
        <f t="shared" si="64"/>
        <v>0</v>
      </c>
    </row>
    <row r="662" spans="1:7" ht="47.25" x14ac:dyDescent="0.25">
      <c r="A662" s="394" t="s">
        <v>946</v>
      </c>
      <c r="B662" s="395" t="s">
        <v>264</v>
      </c>
      <c r="C662" s="395" t="s">
        <v>215</v>
      </c>
      <c r="D662" s="395" t="s">
        <v>1206</v>
      </c>
      <c r="E662" s="395"/>
      <c r="F662" s="388">
        <f t="shared" ref="F662:G664" si="68">F663</f>
        <v>506</v>
      </c>
      <c r="G662" s="388">
        <f t="shared" si="68"/>
        <v>506</v>
      </c>
    </row>
    <row r="663" spans="1:7" ht="47.25" x14ac:dyDescent="0.25">
      <c r="A663" s="396" t="s">
        <v>838</v>
      </c>
      <c r="B663" s="392" t="s">
        <v>264</v>
      </c>
      <c r="C663" s="392" t="s">
        <v>215</v>
      </c>
      <c r="D663" s="392" t="s">
        <v>1207</v>
      </c>
      <c r="E663" s="392"/>
      <c r="F663" s="389">
        <f t="shared" si="68"/>
        <v>506</v>
      </c>
      <c r="G663" s="389">
        <f t="shared" si="68"/>
        <v>506</v>
      </c>
    </row>
    <row r="664" spans="1:7" ht="94.5" x14ac:dyDescent="0.25">
      <c r="A664" s="396" t="s">
        <v>127</v>
      </c>
      <c r="B664" s="392" t="s">
        <v>264</v>
      </c>
      <c r="C664" s="392" t="s">
        <v>215</v>
      </c>
      <c r="D664" s="392" t="s">
        <v>1207</v>
      </c>
      <c r="E664" s="392" t="s">
        <v>128</v>
      </c>
      <c r="F664" s="389">
        <f t="shared" si="68"/>
        <v>506</v>
      </c>
      <c r="G664" s="389">
        <f t="shared" si="68"/>
        <v>506</v>
      </c>
    </row>
    <row r="665" spans="1:7" ht="31.5" x14ac:dyDescent="0.25">
      <c r="A665" s="396" t="s">
        <v>129</v>
      </c>
      <c r="B665" s="392" t="s">
        <v>264</v>
      </c>
      <c r="C665" s="392" t="s">
        <v>215</v>
      </c>
      <c r="D665" s="392" t="s">
        <v>1207</v>
      </c>
      <c r="E665" s="392" t="s">
        <v>209</v>
      </c>
      <c r="F665" s="389">
        <f>'пр.6.1.ведом.22-23 (2)'!G316</f>
        <v>506</v>
      </c>
      <c r="G665" s="389">
        <f>'пр.6.1.ведом.22-23 (2)'!H316</f>
        <v>506</v>
      </c>
    </row>
    <row r="666" spans="1:7" ht="56.25" customHeight="1" x14ac:dyDescent="0.25">
      <c r="A666" s="394" t="s">
        <v>899</v>
      </c>
      <c r="B666" s="395" t="s">
        <v>264</v>
      </c>
      <c r="C666" s="395" t="s">
        <v>215</v>
      </c>
      <c r="D666" s="395" t="s">
        <v>1208</v>
      </c>
      <c r="E666" s="395"/>
      <c r="F666" s="388">
        <f>F670+F673+F667</f>
        <v>1075.4000000000001</v>
      </c>
      <c r="G666" s="388">
        <f>G670+G673+G667</f>
        <v>1075.4000000000001</v>
      </c>
    </row>
    <row r="667" spans="1:7" ht="120.95" customHeight="1" x14ac:dyDescent="0.25">
      <c r="A667" s="31" t="s">
        <v>293</v>
      </c>
      <c r="B667" s="392" t="s">
        <v>264</v>
      </c>
      <c r="C667" s="392" t="s">
        <v>215</v>
      </c>
      <c r="D667" s="392" t="s">
        <v>1402</v>
      </c>
      <c r="E667" s="392"/>
      <c r="F667" s="389">
        <f>F668</f>
        <v>671</v>
      </c>
      <c r="G667" s="389">
        <f>G668</f>
        <v>671</v>
      </c>
    </row>
    <row r="668" spans="1:7" ht="93.75" customHeight="1" x14ac:dyDescent="0.25">
      <c r="A668" s="396" t="s">
        <v>127</v>
      </c>
      <c r="B668" s="392" t="s">
        <v>264</v>
      </c>
      <c r="C668" s="392" t="s">
        <v>215</v>
      </c>
      <c r="D668" s="392" t="s">
        <v>1402</v>
      </c>
      <c r="E668" s="392" t="s">
        <v>128</v>
      </c>
      <c r="F668" s="389">
        <f>F669</f>
        <v>671</v>
      </c>
      <c r="G668" s="389">
        <f>G669</f>
        <v>671</v>
      </c>
    </row>
    <row r="669" spans="1:7" ht="39.4" customHeight="1" x14ac:dyDescent="0.25">
      <c r="A669" s="46" t="s">
        <v>342</v>
      </c>
      <c r="B669" s="392" t="s">
        <v>264</v>
      </c>
      <c r="C669" s="392" t="s">
        <v>215</v>
      </c>
      <c r="D669" s="392" t="s">
        <v>1402</v>
      </c>
      <c r="E669" s="392" t="s">
        <v>209</v>
      </c>
      <c r="F669" s="389">
        <f>'пр.6.1.ведом.22-23 (2)'!G320</f>
        <v>671</v>
      </c>
      <c r="G669" s="389">
        <f>'пр.6.1.ведом.22-23 (2)'!H320</f>
        <v>671</v>
      </c>
    </row>
    <row r="670" spans="1:7" ht="63" x14ac:dyDescent="0.25">
      <c r="A670" s="31" t="s">
        <v>289</v>
      </c>
      <c r="B670" s="392" t="s">
        <v>264</v>
      </c>
      <c r="C670" s="392" t="s">
        <v>215</v>
      </c>
      <c r="D670" s="392" t="s">
        <v>1209</v>
      </c>
      <c r="E670" s="392"/>
      <c r="F670" s="389">
        <f>F671</f>
        <v>106</v>
      </c>
      <c r="G670" s="389">
        <f>G671</f>
        <v>106</v>
      </c>
    </row>
    <row r="671" spans="1:7" ht="94.5" x14ac:dyDescent="0.25">
      <c r="A671" s="396" t="s">
        <v>127</v>
      </c>
      <c r="B671" s="392" t="s">
        <v>264</v>
      </c>
      <c r="C671" s="392" t="s">
        <v>215</v>
      </c>
      <c r="D671" s="392" t="s">
        <v>1209</v>
      </c>
      <c r="E671" s="392" t="s">
        <v>128</v>
      </c>
      <c r="F671" s="389">
        <f>F672</f>
        <v>106</v>
      </c>
      <c r="G671" s="389">
        <f>G672</f>
        <v>106</v>
      </c>
    </row>
    <row r="672" spans="1:7" ht="31.5" x14ac:dyDescent="0.25">
      <c r="A672" s="46" t="s">
        <v>342</v>
      </c>
      <c r="B672" s="392" t="s">
        <v>264</v>
      </c>
      <c r="C672" s="392" t="s">
        <v>215</v>
      </c>
      <c r="D672" s="392" t="s">
        <v>1209</v>
      </c>
      <c r="E672" s="392" t="s">
        <v>209</v>
      </c>
      <c r="F672" s="389">
        <f>'пр.6.1.ведом.22-23 (2)'!G323</f>
        <v>106</v>
      </c>
      <c r="G672" s="389">
        <f>'пр.6.1.ведом.22-23 (2)'!H323</f>
        <v>106</v>
      </c>
    </row>
    <row r="673" spans="1:7" ht="78.75" x14ac:dyDescent="0.25">
      <c r="A673" s="31" t="s">
        <v>291</v>
      </c>
      <c r="B673" s="392" t="s">
        <v>264</v>
      </c>
      <c r="C673" s="392" t="s">
        <v>215</v>
      </c>
      <c r="D673" s="392" t="s">
        <v>1210</v>
      </c>
      <c r="E673" s="392"/>
      <c r="F673" s="389">
        <f>F674</f>
        <v>298.39999999999998</v>
      </c>
      <c r="G673" s="389">
        <f>G674</f>
        <v>298.39999999999998</v>
      </c>
    </row>
    <row r="674" spans="1:7" ht="94.5" x14ac:dyDescent="0.25">
      <c r="A674" s="396" t="s">
        <v>127</v>
      </c>
      <c r="B674" s="392" t="s">
        <v>264</v>
      </c>
      <c r="C674" s="392" t="s">
        <v>215</v>
      </c>
      <c r="D674" s="392" t="s">
        <v>1210</v>
      </c>
      <c r="E674" s="392" t="s">
        <v>128</v>
      </c>
      <c r="F674" s="389">
        <f>F675</f>
        <v>298.39999999999998</v>
      </c>
      <c r="G674" s="389">
        <f>G675</f>
        <v>298.39999999999998</v>
      </c>
    </row>
    <row r="675" spans="1:7" ht="31.5" x14ac:dyDescent="0.25">
      <c r="A675" s="46" t="s">
        <v>342</v>
      </c>
      <c r="B675" s="392" t="s">
        <v>264</v>
      </c>
      <c r="C675" s="392" t="s">
        <v>215</v>
      </c>
      <c r="D675" s="392" t="s">
        <v>1210</v>
      </c>
      <c r="E675" s="392" t="s">
        <v>209</v>
      </c>
      <c r="F675" s="389">
        <f>'пр.6.1.ведом.22-23 (2)'!G326</f>
        <v>298.39999999999998</v>
      </c>
      <c r="G675" s="389">
        <f>'пр.6.1.ведом.22-23 (2)'!H326</f>
        <v>298.39999999999998</v>
      </c>
    </row>
    <row r="676" spans="1:7" ht="63" x14ac:dyDescent="0.25">
      <c r="A676" s="34" t="s">
        <v>1218</v>
      </c>
      <c r="B676" s="395" t="s">
        <v>264</v>
      </c>
      <c r="C676" s="395" t="s">
        <v>215</v>
      </c>
      <c r="D676" s="395" t="s">
        <v>324</v>
      </c>
      <c r="E676" s="395"/>
      <c r="F676" s="393">
        <f>F678</f>
        <v>6</v>
      </c>
      <c r="G676" s="393">
        <f>G678</f>
        <v>0</v>
      </c>
    </row>
    <row r="677" spans="1:7" ht="63" x14ac:dyDescent="0.25">
      <c r="A677" s="34" t="s">
        <v>1024</v>
      </c>
      <c r="B677" s="395" t="s">
        <v>264</v>
      </c>
      <c r="C677" s="395" t="s">
        <v>215</v>
      </c>
      <c r="D677" s="395" t="s">
        <v>933</v>
      </c>
      <c r="E677" s="395"/>
      <c r="F677" s="393">
        <f>F680</f>
        <v>6</v>
      </c>
      <c r="G677" s="393">
        <f>G680</f>
        <v>0</v>
      </c>
    </row>
    <row r="678" spans="1:7" ht="47.25" x14ac:dyDescent="0.25">
      <c r="A678" s="31" t="s">
        <v>1081</v>
      </c>
      <c r="B678" s="392" t="s">
        <v>264</v>
      </c>
      <c r="C678" s="392" t="s">
        <v>215</v>
      </c>
      <c r="D678" s="392" t="s">
        <v>1025</v>
      </c>
      <c r="E678" s="392"/>
      <c r="F678" s="397">
        <f>F679</f>
        <v>6</v>
      </c>
      <c r="G678" s="397">
        <f>G679</f>
        <v>0</v>
      </c>
    </row>
    <row r="679" spans="1:7" ht="31.5" x14ac:dyDescent="0.25">
      <c r="A679" s="396" t="s">
        <v>131</v>
      </c>
      <c r="B679" s="392" t="s">
        <v>264</v>
      </c>
      <c r="C679" s="392" t="s">
        <v>215</v>
      </c>
      <c r="D679" s="392" t="s">
        <v>1025</v>
      </c>
      <c r="E679" s="392" t="s">
        <v>132</v>
      </c>
      <c r="F679" s="397">
        <f>F680</f>
        <v>6</v>
      </c>
      <c r="G679" s="397">
        <f>G680</f>
        <v>0</v>
      </c>
    </row>
    <row r="680" spans="1:7" ht="47.25" x14ac:dyDescent="0.25">
      <c r="A680" s="396" t="s">
        <v>133</v>
      </c>
      <c r="B680" s="392" t="s">
        <v>264</v>
      </c>
      <c r="C680" s="392" t="s">
        <v>215</v>
      </c>
      <c r="D680" s="392" t="s">
        <v>1025</v>
      </c>
      <c r="E680" s="392" t="s">
        <v>134</v>
      </c>
      <c r="F680" s="397">
        <f>'пр.6.1.ведом.22-23 (2)'!G331</f>
        <v>6</v>
      </c>
      <c r="G680" s="397">
        <f>'пр.6.1.ведом.22-23 (2)'!H331</f>
        <v>0</v>
      </c>
    </row>
    <row r="681" spans="1:7" ht="63" x14ac:dyDescent="0.25">
      <c r="A681" s="400" t="s">
        <v>1351</v>
      </c>
      <c r="B681" s="395" t="s">
        <v>264</v>
      </c>
      <c r="C681" s="395" t="s">
        <v>215</v>
      </c>
      <c r="D681" s="395" t="s">
        <v>705</v>
      </c>
      <c r="E681" s="395"/>
      <c r="F681" s="388">
        <f>F682</f>
        <v>792.9</v>
      </c>
      <c r="G681" s="388">
        <f>G682</f>
        <v>824.7</v>
      </c>
    </row>
    <row r="682" spans="1:7" ht="63" x14ac:dyDescent="0.25">
      <c r="A682" s="400" t="s">
        <v>889</v>
      </c>
      <c r="B682" s="395" t="s">
        <v>264</v>
      </c>
      <c r="C682" s="395" t="s">
        <v>215</v>
      </c>
      <c r="D682" s="395" t="s">
        <v>887</v>
      </c>
      <c r="E682" s="395"/>
      <c r="F682" s="388">
        <f>F683+F686</f>
        <v>792.9</v>
      </c>
      <c r="G682" s="388">
        <f>G683+G686</f>
        <v>824.7</v>
      </c>
    </row>
    <row r="683" spans="1:7" ht="47.25" x14ac:dyDescent="0.25">
      <c r="A683" s="98" t="s">
        <v>1003</v>
      </c>
      <c r="B683" s="392" t="s">
        <v>264</v>
      </c>
      <c r="C683" s="392" t="s">
        <v>215</v>
      </c>
      <c r="D683" s="392" t="s">
        <v>888</v>
      </c>
      <c r="E683" s="398"/>
      <c r="F683" s="389">
        <f>F684</f>
        <v>490.2</v>
      </c>
      <c r="G683" s="389">
        <f>G684</f>
        <v>509.8</v>
      </c>
    </row>
    <row r="684" spans="1:7" ht="31.5" x14ac:dyDescent="0.25">
      <c r="A684" s="396" t="s">
        <v>131</v>
      </c>
      <c r="B684" s="392" t="s">
        <v>264</v>
      </c>
      <c r="C684" s="392" t="s">
        <v>215</v>
      </c>
      <c r="D684" s="392" t="s">
        <v>888</v>
      </c>
      <c r="E684" s="398" t="s">
        <v>132</v>
      </c>
      <c r="F684" s="389">
        <f>F685</f>
        <v>490.2</v>
      </c>
      <c r="G684" s="389">
        <f>G685</f>
        <v>509.8</v>
      </c>
    </row>
    <row r="685" spans="1:7" ht="47.25" x14ac:dyDescent="0.25">
      <c r="A685" s="396" t="s">
        <v>133</v>
      </c>
      <c r="B685" s="392" t="s">
        <v>264</v>
      </c>
      <c r="C685" s="392" t="s">
        <v>215</v>
      </c>
      <c r="D685" s="392" t="s">
        <v>888</v>
      </c>
      <c r="E685" s="398" t="s">
        <v>134</v>
      </c>
      <c r="F685" s="389">
        <f>'пр.6.1.ведом.22-23 (2)'!G336</f>
        <v>490.2</v>
      </c>
      <c r="G685" s="389">
        <f>'пр.6.1.ведом.22-23 (2)'!H336</f>
        <v>509.8</v>
      </c>
    </row>
    <row r="686" spans="1:7" ht="47.25" x14ac:dyDescent="0.25">
      <c r="A686" s="98" t="s">
        <v>780</v>
      </c>
      <c r="B686" s="392" t="s">
        <v>264</v>
      </c>
      <c r="C686" s="392" t="s">
        <v>215</v>
      </c>
      <c r="D686" s="392" t="s">
        <v>935</v>
      </c>
      <c r="E686" s="398"/>
      <c r="F686" s="389">
        <f>F687</f>
        <v>302.7</v>
      </c>
      <c r="G686" s="389">
        <f>G687</f>
        <v>314.89999999999998</v>
      </c>
    </row>
    <row r="687" spans="1:7" ht="47.25" x14ac:dyDescent="0.25">
      <c r="A687" s="29" t="s">
        <v>272</v>
      </c>
      <c r="B687" s="392" t="s">
        <v>264</v>
      </c>
      <c r="C687" s="392" t="s">
        <v>215</v>
      </c>
      <c r="D687" s="392" t="s">
        <v>935</v>
      </c>
      <c r="E687" s="398" t="s">
        <v>273</v>
      </c>
      <c r="F687" s="389">
        <f>F688</f>
        <v>302.7</v>
      </c>
      <c r="G687" s="389">
        <f>G688</f>
        <v>314.89999999999998</v>
      </c>
    </row>
    <row r="688" spans="1:7" ht="15.75" x14ac:dyDescent="0.25">
      <c r="A688" s="180" t="s">
        <v>274</v>
      </c>
      <c r="B688" s="392" t="s">
        <v>264</v>
      </c>
      <c r="C688" s="392" t="s">
        <v>215</v>
      </c>
      <c r="D688" s="392" t="s">
        <v>935</v>
      </c>
      <c r="E688" s="398" t="s">
        <v>275</v>
      </c>
      <c r="F688" s="389">
        <f>'пр.6.1.ведом.22-23 (2)'!G719</f>
        <v>302.7</v>
      </c>
      <c r="G688" s="389">
        <f>'пр.6.1.ведом.22-23 (2)'!H719</f>
        <v>314.89999999999998</v>
      </c>
    </row>
    <row r="689" spans="1:7" ht="21.2" customHeight="1" x14ac:dyDescent="0.25">
      <c r="A689" s="394" t="s">
        <v>466</v>
      </c>
      <c r="B689" s="395" t="s">
        <v>264</v>
      </c>
      <c r="C689" s="395" t="s">
        <v>264</v>
      </c>
      <c r="D689" s="395"/>
      <c r="E689" s="403"/>
      <c r="F689" s="388">
        <f>F690+F709</f>
        <v>6505.1</v>
      </c>
      <c r="G689" s="388">
        <f>G690+G709</f>
        <v>6570.1</v>
      </c>
    </row>
    <row r="690" spans="1:7" ht="47.25" x14ac:dyDescent="0.25">
      <c r="A690" s="394" t="s">
        <v>1371</v>
      </c>
      <c r="B690" s="395" t="s">
        <v>264</v>
      </c>
      <c r="C690" s="395" t="s">
        <v>264</v>
      </c>
      <c r="D690" s="395" t="s">
        <v>344</v>
      </c>
      <c r="E690" s="395"/>
      <c r="F690" s="388">
        <f>F691</f>
        <v>760</v>
      </c>
      <c r="G690" s="388">
        <f>G691</f>
        <v>825</v>
      </c>
    </row>
    <row r="691" spans="1:7" ht="31.5" x14ac:dyDescent="0.25">
      <c r="A691" s="394" t="s">
        <v>345</v>
      </c>
      <c r="B691" s="395" t="s">
        <v>264</v>
      </c>
      <c r="C691" s="395" t="s">
        <v>264</v>
      </c>
      <c r="D691" s="395" t="s">
        <v>346</v>
      </c>
      <c r="E691" s="395"/>
      <c r="F691" s="388">
        <f>F692+F699+F705</f>
        <v>760</v>
      </c>
      <c r="G691" s="388">
        <f>G692+G699+G705</f>
        <v>825</v>
      </c>
    </row>
    <row r="692" spans="1:7" ht="63" x14ac:dyDescent="0.25">
      <c r="A692" s="195" t="s">
        <v>1029</v>
      </c>
      <c r="B692" s="395" t="s">
        <v>264</v>
      </c>
      <c r="C692" s="395" t="s">
        <v>264</v>
      </c>
      <c r="D692" s="395" t="s">
        <v>891</v>
      </c>
      <c r="E692" s="395"/>
      <c r="F692" s="388">
        <f>F693+F696</f>
        <v>280</v>
      </c>
      <c r="G692" s="388">
        <f>G693+G696</f>
        <v>280</v>
      </c>
    </row>
    <row r="693" spans="1:7" ht="31.5" x14ac:dyDescent="0.25">
      <c r="A693" s="98" t="s">
        <v>1035</v>
      </c>
      <c r="B693" s="392" t="s">
        <v>264</v>
      </c>
      <c r="C693" s="392" t="s">
        <v>264</v>
      </c>
      <c r="D693" s="392" t="s">
        <v>892</v>
      </c>
      <c r="E693" s="392"/>
      <c r="F693" s="389">
        <f>F694</f>
        <v>280</v>
      </c>
      <c r="G693" s="389">
        <f>G694</f>
        <v>280</v>
      </c>
    </row>
    <row r="694" spans="1:7" ht="94.5" x14ac:dyDescent="0.25">
      <c r="A694" s="396" t="s">
        <v>127</v>
      </c>
      <c r="B694" s="392" t="s">
        <v>264</v>
      </c>
      <c r="C694" s="392" t="s">
        <v>264</v>
      </c>
      <c r="D694" s="392" t="s">
        <v>892</v>
      </c>
      <c r="E694" s="392" t="s">
        <v>128</v>
      </c>
      <c r="F694" s="389">
        <f>F695</f>
        <v>280</v>
      </c>
      <c r="G694" s="389">
        <f>G695</f>
        <v>280</v>
      </c>
    </row>
    <row r="695" spans="1:7" ht="31.5" x14ac:dyDescent="0.25">
      <c r="A695" s="396" t="s">
        <v>342</v>
      </c>
      <c r="B695" s="392" t="s">
        <v>264</v>
      </c>
      <c r="C695" s="392" t="s">
        <v>264</v>
      </c>
      <c r="D695" s="392" t="s">
        <v>892</v>
      </c>
      <c r="E695" s="392" t="s">
        <v>209</v>
      </c>
      <c r="F695" s="389">
        <f>'пр.6.1.ведом.22-23 (2)'!G343</f>
        <v>280</v>
      </c>
      <c r="G695" s="389">
        <f>'пр.6.1.ведом.22-23 (2)'!H343</f>
        <v>280</v>
      </c>
    </row>
    <row r="696" spans="1:7" ht="31.5" hidden="1" x14ac:dyDescent="0.25">
      <c r="A696" s="396" t="s">
        <v>1030</v>
      </c>
      <c r="B696" s="392" t="s">
        <v>264</v>
      </c>
      <c r="C696" s="392" t="s">
        <v>264</v>
      </c>
      <c r="D696" s="392" t="s">
        <v>1047</v>
      </c>
      <c r="E696" s="392"/>
      <c r="F696" s="389">
        <f>'[1]Пр.4 Рд,пр, ЦС,ВР 21'!F692</f>
        <v>0</v>
      </c>
      <c r="G696" s="389">
        <f t="shared" ref="G696:G698" si="69">F696</f>
        <v>0</v>
      </c>
    </row>
    <row r="697" spans="1:7" ht="31.5" hidden="1" x14ac:dyDescent="0.25">
      <c r="A697" s="396" t="s">
        <v>131</v>
      </c>
      <c r="B697" s="392" t="s">
        <v>264</v>
      </c>
      <c r="C697" s="392" t="s">
        <v>264</v>
      </c>
      <c r="D697" s="392" t="s">
        <v>1047</v>
      </c>
      <c r="E697" s="392" t="s">
        <v>132</v>
      </c>
      <c r="F697" s="389">
        <f>'[1]Пр.4 Рд,пр, ЦС,ВР 21'!F693</f>
        <v>0</v>
      </c>
      <c r="G697" s="389">
        <f t="shared" si="69"/>
        <v>0</v>
      </c>
    </row>
    <row r="698" spans="1:7" ht="47.25" hidden="1" x14ac:dyDescent="0.25">
      <c r="A698" s="396" t="s">
        <v>133</v>
      </c>
      <c r="B698" s="392" t="s">
        <v>264</v>
      </c>
      <c r="C698" s="392" t="s">
        <v>264</v>
      </c>
      <c r="D698" s="392" t="s">
        <v>1047</v>
      </c>
      <c r="E698" s="392" t="s">
        <v>134</v>
      </c>
      <c r="F698" s="389">
        <f>'[1]Пр.4 Рд,пр, ЦС,ВР 21'!F694</f>
        <v>0</v>
      </c>
      <c r="G698" s="389">
        <f t="shared" si="69"/>
        <v>0</v>
      </c>
    </row>
    <row r="699" spans="1:7" ht="78.75" x14ac:dyDescent="0.25">
      <c r="A699" s="394" t="s">
        <v>1031</v>
      </c>
      <c r="B699" s="395" t="s">
        <v>264</v>
      </c>
      <c r="C699" s="395" t="s">
        <v>264</v>
      </c>
      <c r="D699" s="395" t="s">
        <v>893</v>
      </c>
      <c r="E699" s="395"/>
      <c r="F699" s="388">
        <f>F700</f>
        <v>455</v>
      </c>
      <c r="G699" s="388">
        <f>G700</f>
        <v>520</v>
      </c>
    </row>
    <row r="700" spans="1:7" ht="31.5" x14ac:dyDescent="0.25">
      <c r="A700" s="396" t="s">
        <v>1032</v>
      </c>
      <c r="B700" s="392" t="s">
        <v>264</v>
      </c>
      <c r="C700" s="392" t="s">
        <v>264</v>
      </c>
      <c r="D700" s="392" t="s">
        <v>900</v>
      </c>
      <c r="E700" s="392"/>
      <c r="F700" s="389">
        <f>F701+F704</f>
        <v>455</v>
      </c>
      <c r="G700" s="389">
        <f>G701+G704</f>
        <v>520</v>
      </c>
    </row>
    <row r="701" spans="1:7" ht="94.5" x14ac:dyDescent="0.25">
      <c r="A701" s="396" t="s">
        <v>127</v>
      </c>
      <c r="B701" s="392" t="s">
        <v>264</v>
      </c>
      <c r="C701" s="392" t="s">
        <v>264</v>
      </c>
      <c r="D701" s="392" t="s">
        <v>900</v>
      </c>
      <c r="E701" s="392" t="s">
        <v>128</v>
      </c>
      <c r="F701" s="389">
        <f>F702</f>
        <v>40</v>
      </c>
      <c r="G701" s="389">
        <f>G702</f>
        <v>40</v>
      </c>
    </row>
    <row r="702" spans="1:7" ht="31.5" x14ac:dyDescent="0.25">
      <c r="A702" s="396" t="s">
        <v>342</v>
      </c>
      <c r="B702" s="392" t="s">
        <v>264</v>
      </c>
      <c r="C702" s="392" t="s">
        <v>264</v>
      </c>
      <c r="D702" s="392" t="s">
        <v>900</v>
      </c>
      <c r="E702" s="392" t="s">
        <v>209</v>
      </c>
      <c r="F702" s="389">
        <f>'пр.6.1.ведом.22-23 (2)'!G350</f>
        <v>40</v>
      </c>
      <c r="G702" s="389">
        <f>'пр.6.1.ведом.22-23 (2)'!H350</f>
        <v>40</v>
      </c>
    </row>
    <row r="703" spans="1:7" ht="31.5" x14ac:dyDescent="0.25">
      <c r="A703" s="396" t="s">
        <v>131</v>
      </c>
      <c r="B703" s="392" t="s">
        <v>264</v>
      </c>
      <c r="C703" s="392" t="s">
        <v>264</v>
      </c>
      <c r="D703" s="392" t="s">
        <v>900</v>
      </c>
      <c r="E703" s="392" t="s">
        <v>132</v>
      </c>
      <c r="F703" s="389">
        <f>F704</f>
        <v>415</v>
      </c>
      <c r="G703" s="389">
        <f>G704</f>
        <v>480</v>
      </c>
    </row>
    <row r="704" spans="1:7" ht="47.25" x14ac:dyDescent="0.25">
      <c r="A704" s="396" t="s">
        <v>133</v>
      </c>
      <c r="B704" s="392" t="s">
        <v>264</v>
      </c>
      <c r="C704" s="392" t="s">
        <v>264</v>
      </c>
      <c r="D704" s="392" t="s">
        <v>900</v>
      </c>
      <c r="E704" s="392" t="s">
        <v>134</v>
      </c>
      <c r="F704" s="389">
        <f>'пр.6.1.ведом.22-23 (2)'!G352</f>
        <v>415</v>
      </c>
      <c r="G704" s="389">
        <f>'пр.6.1.ведом.22-23 (2)'!H352</f>
        <v>480</v>
      </c>
    </row>
    <row r="705" spans="1:7" ht="47.25" x14ac:dyDescent="0.25">
      <c r="A705" s="394" t="s">
        <v>1037</v>
      </c>
      <c r="B705" s="395" t="s">
        <v>264</v>
      </c>
      <c r="C705" s="395" t="s">
        <v>264</v>
      </c>
      <c r="D705" s="395" t="s">
        <v>1033</v>
      </c>
      <c r="E705" s="395"/>
      <c r="F705" s="388">
        <f t="shared" ref="F705:G707" si="70">F706</f>
        <v>25</v>
      </c>
      <c r="G705" s="388">
        <f t="shared" si="70"/>
        <v>25</v>
      </c>
    </row>
    <row r="706" spans="1:7" ht="47.25" x14ac:dyDescent="0.25">
      <c r="A706" s="215" t="s">
        <v>1034</v>
      </c>
      <c r="B706" s="392" t="s">
        <v>264</v>
      </c>
      <c r="C706" s="392" t="s">
        <v>264</v>
      </c>
      <c r="D706" s="392" t="s">
        <v>1048</v>
      </c>
      <c r="E706" s="392"/>
      <c r="F706" s="389">
        <f t="shared" si="70"/>
        <v>25</v>
      </c>
      <c r="G706" s="389">
        <f t="shared" si="70"/>
        <v>25</v>
      </c>
    </row>
    <row r="707" spans="1:7" ht="31.5" x14ac:dyDescent="0.25">
      <c r="A707" s="396" t="s">
        <v>248</v>
      </c>
      <c r="B707" s="392" t="s">
        <v>264</v>
      </c>
      <c r="C707" s="392" t="s">
        <v>264</v>
      </c>
      <c r="D707" s="392" t="s">
        <v>1048</v>
      </c>
      <c r="E707" s="392" t="s">
        <v>249</v>
      </c>
      <c r="F707" s="389">
        <f t="shared" si="70"/>
        <v>25</v>
      </c>
      <c r="G707" s="389">
        <f t="shared" si="70"/>
        <v>25</v>
      </c>
    </row>
    <row r="708" spans="1:7" ht="37.5" customHeight="1" x14ac:dyDescent="0.25">
      <c r="A708" s="396" t="s">
        <v>1194</v>
      </c>
      <c r="B708" s="392" t="s">
        <v>264</v>
      </c>
      <c r="C708" s="392" t="s">
        <v>264</v>
      </c>
      <c r="D708" s="392" t="s">
        <v>1048</v>
      </c>
      <c r="E708" s="392" t="s">
        <v>1193</v>
      </c>
      <c r="F708" s="389">
        <f>'пр.6.1.ведом.22-23 (2)'!G356</f>
        <v>25</v>
      </c>
      <c r="G708" s="389">
        <f>'пр.6.1.ведом.22-23 (2)'!H356</f>
        <v>25</v>
      </c>
    </row>
    <row r="709" spans="1:7" ht="47.25" x14ac:dyDescent="0.25">
      <c r="A709" s="394" t="s">
        <v>1357</v>
      </c>
      <c r="B709" s="395" t="s">
        <v>264</v>
      </c>
      <c r="C709" s="395" t="s">
        <v>264</v>
      </c>
      <c r="D709" s="395" t="s">
        <v>406</v>
      </c>
      <c r="E709" s="395"/>
      <c r="F709" s="388">
        <f t="shared" ref="F709:G712" si="71">F710</f>
        <v>5745.1</v>
      </c>
      <c r="G709" s="388">
        <f t="shared" si="71"/>
        <v>5745.1</v>
      </c>
    </row>
    <row r="710" spans="1:7" ht="31.5" x14ac:dyDescent="0.25">
      <c r="A710" s="394" t="s">
        <v>942</v>
      </c>
      <c r="B710" s="395" t="s">
        <v>264</v>
      </c>
      <c r="C710" s="395" t="s">
        <v>264</v>
      </c>
      <c r="D710" s="395" t="s">
        <v>1237</v>
      </c>
      <c r="E710" s="395"/>
      <c r="F710" s="388">
        <f t="shared" si="71"/>
        <v>5745.1</v>
      </c>
      <c r="G710" s="388">
        <f t="shared" si="71"/>
        <v>5745.1</v>
      </c>
    </row>
    <row r="711" spans="1:7" ht="47.25" x14ac:dyDescent="0.25">
      <c r="A711" s="31" t="s">
        <v>1060</v>
      </c>
      <c r="B711" s="392" t="s">
        <v>264</v>
      </c>
      <c r="C711" s="392" t="s">
        <v>264</v>
      </c>
      <c r="D711" s="392" t="s">
        <v>1259</v>
      </c>
      <c r="E711" s="392"/>
      <c r="F711" s="389">
        <f t="shared" si="71"/>
        <v>5745.1</v>
      </c>
      <c r="G711" s="389">
        <f t="shared" si="71"/>
        <v>5745.1</v>
      </c>
    </row>
    <row r="712" spans="1:7" ht="47.25" x14ac:dyDescent="0.25">
      <c r="A712" s="396" t="s">
        <v>272</v>
      </c>
      <c r="B712" s="392" t="s">
        <v>264</v>
      </c>
      <c r="C712" s="392" t="s">
        <v>264</v>
      </c>
      <c r="D712" s="392" t="s">
        <v>1259</v>
      </c>
      <c r="E712" s="392" t="s">
        <v>273</v>
      </c>
      <c r="F712" s="389">
        <f t="shared" si="71"/>
        <v>5745.1</v>
      </c>
      <c r="G712" s="389">
        <f t="shared" si="71"/>
        <v>5745.1</v>
      </c>
    </row>
    <row r="713" spans="1:7" ht="15.75" x14ac:dyDescent="0.25">
      <c r="A713" s="396" t="s">
        <v>274</v>
      </c>
      <c r="B713" s="392" t="s">
        <v>264</v>
      </c>
      <c r="C713" s="392" t="s">
        <v>264</v>
      </c>
      <c r="D713" s="392" t="s">
        <v>1259</v>
      </c>
      <c r="E713" s="392" t="s">
        <v>275</v>
      </c>
      <c r="F713" s="389">
        <f>'пр.6.1.ведом.22-23 (2)'!G725</f>
        <v>5745.1</v>
      </c>
      <c r="G713" s="389">
        <f>'пр.6.1.ведом.22-23 (2)'!H725</f>
        <v>5745.1</v>
      </c>
    </row>
    <row r="714" spans="1:7" ht="15.75" x14ac:dyDescent="0.25">
      <c r="A714" s="394" t="s">
        <v>295</v>
      </c>
      <c r="B714" s="395" t="s">
        <v>264</v>
      </c>
      <c r="C714" s="395" t="s">
        <v>219</v>
      </c>
      <c r="D714" s="395"/>
      <c r="E714" s="395"/>
      <c r="F714" s="388">
        <f>F715+F725</f>
        <v>19831.8</v>
      </c>
      <c r="G714" s="388">
        <f>G715+G725</f>
        <v>19831.8</v>
      </c>
    </row>
    <row r="715" spans="1:7" ht="31.5" x14ac:dyDescent="0.25">
      <c r="A715" s="394" t="s">
        <v>916</v>
      </c>
      <c r="B715" s="395" t="s">
        <v>264</v>
      </c>
      <c r="C715" s="395" t="s">
        <v>219</v>
      </c>
      <c r="D715" s="395" t="s">
        <v>857</v>
      </c>
      <c r="E715" s="395"/>
      <c r="F715" s="388">
        <f>F716</f>
        <v>6048.7</v>
      </c>
      <c r="G715" s="388">
        <f>G716</f>
        <v>6048.7</v>
      </c>
    </row>
    <row r="716" spans="1:7" ht="15.75" x14ac:dyDescent="0.25">
      <c r="A716" s="394" t="s">
        <v>917</v>
      </c>
      <c r="B716" s="395" t="s">
        <v>264</v>
      </c>
      <c r="C716" s="395" t="s">
        <v>219</v>
      </c>
      <c r="D716" s="395" t="s">
        <v>858</v>
      </c>
      <c r="E716" s="395"/>
      <c r="F716" s="388">
        <f>F717+F722</f>
        <v>6048.7</v>
      </c>
      <c r="G716" s="388">
        <f>G717+G722</f>
        <v>6048.7</v>
      </c>
    </row>
    <row r="717" spans="1:7" ht="31.5" x14ac:dyDescent="0.25">
      <c r="A717" s="396" t="s">
        <v>896</v>
      </c>
      <c r="B717" s="392" t="s">
        <v>264</v>
      </c>
      <c r="C717" s="392" t="s">
        <v>219</v>
      </c>
      <c r="D717" s="392" t="s">
        <v>859</v>
      </c>
      <c r="E717" s="392"/>
      <c r="F717" s="389">
        <f>F718+F720</f>
        <v>5922.7</v>
      </c>
      <c r="G717" s="389">
        <f>G718+G720</f>
        <v>5922.7</v>
      </c>
    </row>
    <row r="718" spans="1:7" ht="94.5" x14ac:dyDescent="0.25">
      <c r="A718" s="396" t="s">
        <v>127</v>
      </c>
      <c r="B718" s="392" t="s">
        <v>264</v>
      </c>
      <c r="C718" s="392" t="s">
        <v>219</v>
      </c>
      <c r="D718" s="392" t="s">
        <v>859</v>
      </c>
      <c r="E718" s="392" t="s">
        <v>128</v>
      </c>
      <c r="F718" s="389">
        <f>F719</f>
        <v>5710.7</v>
      </c>
      <c r="G718" s="389">
        <f>G719</f>
        <v>5710.7</v>
      </c>
    </row>
    <row r="719" spans="1:7" ht="31.5" x14ac:dyDescent="0.25">
      <c r="A719" s="396" t="s">
        <v>129</v>
      </c>
      <c r="B719" s="392" t="s">
        <v>264</v>
      </c>
      <c r="C719" s="392" t="s">
        <v>219</v>
      </c>
      <c r="D719" s="392" t="s">
        <v>859</v>
      </c>
      <c r="E719" s="392" t="s">
        <v>130</v>
      </c>
      <c r="F719" s="389">
        <f>'пр.6.1.ведом.22-23 (2)'!G734</f>
        <v>5710.7</v>
      </c>
      <c r="G719" s="389">
        <f>'пр.6.1.ведом.22-23 (2)'!H734</f>
        <v>5710.7</v>
      </c>
    </row>
    <row r="720" spans="1:7" ht="31.5" x14ac:dyDescent="0.25">
      <c r="A720" s="396" t="s">
        <v>131</v>
      </c>
      <c r="B720" s="392" t="s">
        <v>264</v>
      </c>
      <c r="C720" s="392" t="s">
        <v>219</v>
      </c>
      <c r="D720" s="392" t="s">
        <v>859</v>
      </c>
      <c r="E720" s="392" t="s">
        <v>132</v>
      </c>
      <c r="F720" s="389">
        <f>F721</f>
        <v>212</v>
      </c>
      <c r="G720" s="389">
        <f>G721</f>
        <v>212</v>
      </c>
    </row>
    <row r="721" spans="1:7" ht="47.25" x14ac:dyDescent="0.25">
      <c r="A721" s="396" t="s">
        <v>133</v>
      </c>
      <c r="B721" s="392" t="s">
        <v>264</v>
      </c>
      <c r="C721" s="392" t="s">
        <v>219</v>
      </c>
      <c r="D721" s="392" t="s">
        <v>859</v>
      </c>
      <c r="E721" s="392" t="s">
        <v>134</v>
      </c>
      <c r="F721" s="389">
        <f>'пр.6.1.ведом.22-23 (2)'!G736</f>
        <v>212</v>
      </c>
      <c r="G721" s="389">
        <f>'пр.6.1.ведом.22-23 (2)'!H736</f>
        <v>212</v>
      </c>
    </row>
    <row r="722" spans="1:7" ht="47.25" x14ac:dyDescent="0.25">
      <c r="A722" s="396" t="s">
        <v>838</v>
      </c>
      <c r="B722" s="392" t="s">
        <v>264</v>
      </c>
      <c r="C722" s="392" t="s">
        <v>219</v>
      </c>
      <c r="D722" s="392" t="s">
        <v>861</v>
      </c>
      <c r="E722" s="392"/>
      <c r="F722" s="389">
        <f>F723</f>
        <v>126</v>
      </c>
      <c r="G722" s="389">
        <f>G723</f>
        <v>126</v>
      </c>
    </row>
    <row r="723" spans="1:7" ht="94.5" x14ac:dyDescent="0.25">
      <c r="A723" s="396" t="s">
        <v>127</v>
      </c>
      <c r="B723" s="392" t="s">
        <v>264</v>
      </c>
      <c r="C723" s="392" t="s">
        <v>219</v>
      </c>
      <c r="D723" s="392" t="s">
        <v>861</v>
      </c>
      <c r="E723" s="392" t="s">
        <v>128</v>
      </c>
      <c r="F723" s="389">
        <f>F724</f>
        <v>126</v>
      </c>
      <c r="G723" s="389">
        <f>G724</f>
        <v>126</v>
      </c>
    </row>
    <row r="724" spans="1:7" ht="31.5" x14ac:dyDescent="0.25">
      <c r="A724" s="396" t="s">
        <v>129</v>
      </c>
      <c r="B724" s="392" t="s">
        <v>264</v>
      </c>
      <c r="C724" s="392" t="s">
        <v>219</v>
      </c>
      <c r="D724" s="392" t="s">
        <v>861</v>
      </c>
      <c r="E724" s="392" t="s">
        <v>130</v>
      </c>
      <c r="F724" s="389">
        <f>'пр.6.1.ведом.22-23 (2)'!G739</f>
        <v>126</v>
      </c>
      <c r="G724" s="389">
        <f>'пр.6.1.ведом.22-23 (2)'!H739</f>
        <v>126</v>
      </c>
    </row>
    <row r="725" spans="1:7" ht="15.75" x14ac:dyDescent="0.25">
      <c r="A725" s="394" t="s">
        <v>141</v>
      </c>
      <c r="B725" s="395" t="s">
        <v>264</v>
      </c>
      <c r="C725" s="395" t="s">
        <v>219</v>
      </c>
      <c r="D725" s="395" t="s">
        <v>865</v>
      </c>
      <c r="E725" s="395"/>
      <c r="F725" s="388">
        <f>F726+F730</f>
        <v>13783.1</v>
      </c>
      <c r="G725" s="388">
        <f>G726+G730</f>
        <v>13783.1</v>
      </c>
    </row>
    <row r="726" spans="1:7" ht="31.5" x14ac:dyDescent="0.25">
      <c r="A726" s="394" t="s">
        <v>869</v>
      </c>
      <c r="B726" s="395" t="s">
        <v>264</v>
      </c>
      <c r="C726" s="395" t="s">
        <v>219</v>
      </c>
      <c r="D726" s="395" t="s">
        <v>864</v>
      </c>
      <c r="E726" s="395"/>
      <c r="F726" s="388">
        <f t="shared" ref="F726:G728" si="72">F727</f>
        <v>300</v>
      </c>
      <c r="G726" s="388">
        <f t="shared" si="72"/>
        <v>300</v>
      </c>
    </row>
    <row r="727" spans="1:7" ht="21.2" customHeight="1" x14ac:dyDescent="0.25">
      <c r="A727" s="396" t="s">
        <v>478</v>
      </c>
      <c r="B727" s="392" t="s">
        <v>264</v>
      </c>
      <c r="C727" s="392" t="s">
        <v>219</v>
      </c>
      <c r="D727" s="392" t="s">
        <v>943</v>
      </c>
      <c r="E727" s="392"/>
      <c r="F727" s="389">
        <f t="shared" si="72"/>
        <v>300</v>
      </c>
      <c r="G727" s="389">
        <f t="shared" si="72"/>
        <v>300</v>
      </c>
    </row>
    <row r="728" spans="1:7" ht="31.5" x14ac:dyDescent="0.25">
      <c r="A728" s="396" t="s">
        <v>131</v>
      </c>
      <c r="B728" s="392" t="s">
        <v>264</v>
      </c>
      <c r="C728" s="392" t="s">
        <v>219</v>
      </c>
      <c r="D728" s="392" t="s">
        <v>943</v>
      </c>
      <c r="E728" s="392" t="s">
        <v>132</v>
      </c>
      <c r="F728" s="389">
        <f t="shared" si="72"/>
        <v>300</v>
      </c>
      <c r="G728" s="389">
        <f t="shared" si="72"/>
        <v>300</v>
      </c>
    </row>
    <row r="729" spans="1:7" ht="47.25" x14ac:dyDescent="0.25">
      <c r="A729" s="396" t="s">
        <v>133</v>
      </c>
      <c r="B729" s="392" t="s">
        <v>264</v>
      </c>
      <c r="C729" s="392" t="s">
        <v>219</v>
      </c>
      <c r="D729" s="392" t="s">
        <v>943</v>
      </c>
      <c r="E729" s="392" t="s">
        <v>134</v>
      </c>
      <c r="F729" s="389">
        <f>'пр.6.1.ведом.22-23 (2)'!G744</f>
        <v>300</v>
      </c>
      <c r="G729" s="389">
        <f>'пр.6.1.ведом.22-23 (2)'!H744</f>
        <v>300</v>
      </c>
    </row>
    <row r="730" spans="1:7" ht="36" customHeight="1" x14ac:dyDescent="0.25">
      <c r="A730" s="394" t="s">
        <v>928</v>
      </c>
      <c r="B730" s="395" t="s">
        <v>264</v>
      </c>
      <c r="C730" s="395" t="s">
        <v>219</v>
      </c>
      <c r="D730" s="395" t="s">
        <v>913</v>
      </c>
      <c r="E730" s="395"/>
      <c r="F730" s="388">
        <f>F731+F738</f>
        <v>13483.1</v>
      </c>
      <c r="G730" s="388">
        <f>G731+G738</f>
        <v>13483.1</v>
      </c>
    </row>
    <row r="731" spans="1:7" ht="31.5" x14ac:dyDescent="0.25">
      <c r="A731" s="396" t="s">
        <v>902</v>
      </c>
      <c r="B731" s="392" t="s">
        <v>264</v>
      </c>
      <c r="C731" s="392" t="s">
        <v>219</v>
      </c>
      <c r="D731" s="392" t="s">
        <v>914</v>
      </c>
      <c r="E731" s="392"/>
      <c r="F731" s="389">
        <f>F732+F734+F736</f>
        <v>12977.1</v>
      </c>
      <c r="G731" s="389">
        <f>G732+G734+G736</f>
        <v>12977.1</v>
      </c>
    </row>
    <row r="732" spans="1:7" ht="94.5" x14ac:dyDescent="0.25">
      <c r="A732" s="396" t="s">
        <v>127</v>
      </c>
      <c r="B732" s="392" t="s">
        <v>264</v>
      </c>
      <c r="C732" s="392" t="s">
        <v>219</v>
      </c>
      <c r="D732" s="392" t="s">
        <v>914</v>
      </c>
      <c r="E732" s="392" t="s">
        <v>128</v>
      </c>
      <c r="F732" s="389">
        <f>F733</f>
        <v>11885.1</v>
      </c>
      <c r="G732" s="389">
        <f>G733</f>
        <v>11885.1</v>
      </c>
    </row>
    <row r="733" spans="1:7" ht="31.5" x14ac:dyDescent="0.25">
      <c r="A733" s="396" t="s">
        <v>342</v>
      </c>
      <c r="B733" s="392" t="s">
        <v>264</v>
      </c>
      <c r="C733" s="392" t="s">
        <v>219</v>
      </c>
      <c r="D733" s="392" t="s">
        <v>914</v>
      </c>
      <c r="E733" s="392" t="s">
        <v>209</v>
      </c>
      <c r="F733" s="389">
        <f>'пр.6.1.ведом.22-23 (2)'!G748</f>
        <v>11885.1</v>
      </c>
      <c r="G733" s="389">
        <f>'пр.6.1.ведом.22-23 (2)'!H748</f>
        <v>11885.1</v>
      </c>
    </row>
    <row r="734" spans="1:7" ht="31.5" x14ac:dyDescent="0.25">
      <c r="A734" s="396" t="s">
        <v>131</v>
      </c>
      <c r="B734" s="392" t="s">
        <v>264</v>
      </c>
      <c r="C734" s="392" t="s">
        <v>219</v>
      </c>
      <c r="D734" s="392" t="s">
        <v>914</v>
      </c>
      <c r="E734" s="392" t="s">
        <v>132</v>
      </c>
      <c r="F734" s="389">
        <f>F735</f>
        <v>1077</v>
      </c>
      <c r="G734" s="389">
        <f>G735</f>
        <v>1077</v>
      </c>
    </row>
    <row r="735" spans="1:7" ht="47.25" x14ac:dyDescent="0.25">
      <c r="A735" s="396" t="s">
        <v>133</v>
      </c>
      <c r="B735" s="392" t="s">
        <v>264</v>
      </c>
      <c r="C735" s="392" t="s">
        <v>219</v>
      </c>
      <c r="D735" s="392" t="s">
        <v>914</v>
      </c>
      <c r="E735" s="392" t="s">
        <v>134</v>
      </c>
      <c r="F735" s="389">
        <f>'пр.6.1.ведом.22-23 (2)'!G750</f>
        <v>1077</v>
      </c>
      <c r="G735" s="389">
        <f>'пр.6.1.ведом.22-23 (2)'!H750</f>
        <v>1077</v>
      </c>
    </row>
    <row r="736" spans="1:7" ht="15.75" x14ac:dyDescent="0.25">
      <c r="A736" s="396" t="s">
        <v>135</v>
      </c>
      <c r="B736" s="392" t="s">
        <v>264</v>
      </c>
      <c r="C736" s="392" t="s">
        <v>219</v>
      </c>
      <c r="D736" s="392" t="s">
        <v>914</v>
      </c>
      <c r="E736" s="392" t="s">
        <v>145</v>
      </c>
      <c r="F736" s="389">
        <f>F737</f>
        <v>15</v>
      </c>
      <c r="G736" s="389">
        <f>G737</f>
        <v>15</v>
      </c>
    </row>
    <row r="737" spans="1:9" ht="15.75" customHeight="1" x14ac:dyDescent="0.25">
      <c r="A737" s="396" t="s">
        <v>568</v>
      </c>
      <c r="B737" s="392" t="s">
        <v>264</v>
      </c>
      <c r="C737" s="392" t="s">
        <v>219</v>
      </c>
      <c r="D737" s="392" t="s">
        <v>914</v>
      </c>
      <c r="E737" s="392" t="s">
        <v>138</v>
      </c>
      <c r="F737" s="389">
        <f>'пр.6.1.ведом.22-23 (2)'!G752</f>
        <v>15</v>
      </c>
      <c r="G737" s="389">
        <f>'пр.6.1.ведом.22-23 (2)'!H752</f>
        <v>15</v>
      </c>
    </row>
    <row r="738" spans="1:9" ht="47.25" x14ac:dyDescent="0.25">
      <c r="A738" s="396" t="s">
        <v>838</v>
      </c>
      <c r="B738" s="392" t="s">
        <v>264</v>
      </c>
      <c r="C738" s="392" t="s">
        <v>219</v>
      </c>
      <c r="D738" s="392" t="s">
        <v>915</v>
      </c>
      <c r="E738" s="392"/>
      <c r="F738" s="389">
        <f>F739</f>
        <v>506</v>
      </c>
      <c r="G738" s="389">
        <f>G739</f>
        <v>506</v>
      </c>
    </row>
    <row r="739" spans="1:9" ht="94.5" x14ac:dyDescent="0.25">
      <c r="A739" s="396" t="s">
        <v>127</v>
      </c>
      <c r="B739" s="392" t="s">
        <v>264</v>
      </c>
      <c r="C739" s="392" t="s">
        <v>219</v>
      </c>
      <c r="D739" s="392" t="s">
        <v>915</v>
      </c>
      <c r="E739" s="392" t="s">
        <v>128</v>
      </c>
      <c r="F739" s="389">
        <f>F740</f>
        <v>506</v>
      </c>
      <c r="G739" s="389">
        <f>G740</f>
        <v>506</v>
      </c>
    </row>
    <row r="740" spans="1:9" ht="31.5" x14ac:dyDescent="0.25">
      <c r="A740" s="396" t="s">
        <v>129</v>
      </c>
      <c r="B740" s="392" t="s">
        <v>264</v>
      </c>
      <c r="C740" s="392" t="s">
        <v>219</v>
      </c>
      <c r="D740" s="392" t="s">
        <v>915</v>
      </c>
      <c r="E740" s="392" t="s">
        <v>130</v>
      </c>
      <c r="F740" s="389">
        <f>'пр.6.1.ведом.22-23 (2)'!G755</f>
        <v>506</v>
      </c>
      <c r="G740" s="389">
        <f>'пр.6.1.ведом.22-23 (2)'!H755</f>
        <v>506</v>
      </c>
    </row>
    <row r="741" spans="1:9" ht="15.75" x14ac:dyDescent="0.25">
      <c r="A741" s="400" t="s">
        <v>298</v>
      </c>
      <c r="B741" s="7" t="s">
        <v>299</v>
      </c>
      <c r="C741" s="7"/>
      <c r="D741" s="7"/>
      <c r="E741" s="7"/>
      <c r="F741" s="388">
        <f>F742+F795</f>
        <v>76411.28</v>
      </c>
      <c r="G741" s="388">
        <f>G742+G795</f>
        <v>77665.48</v>
      </c>
      <c r="H741" s="387">
        <v>72370</v>
      </c>
      <c r="I741" s="387">
        <v>73630.2</v>
      </c>
    </row>
    <row r="742" spans="1:9" ht="15.75" x14ac:dyDescent="0.25">
      <c r="A742" s="400" t="s">
        <v>300</v>
      </c>
      <c r="B742" s="7" t="s">
        <v>299</v>
      </c>
      <c r="C742" s="7" t="s">
        <v>118</v>
      </c>
      <c r="D742" s="7"/>
      <c r="E742" s="7"/>
      <c r="F742" s="388">
        <f>F743+F785+F790</f>
        <v>57844.87999999999</v>
      </c>
      <c r="G742" s="388">
        <f>G743+G785+G790</f>
        <v>59070.079999999994</v>
      </c>
      <c r="H742" s="216">
        <f>H741-F741</f>
        <v>-4041.2799999999988</v>
      </c>
      <c r="I742" s="216">
        <f>I741-G741</f>
        <v>-4035.2799999999988</v>
      </c>
    </row>
    <row r="743" spans="1:9" ht="47.25" x14ac:dyDescent="0.25">
      <c r="A743" s="394" t="s">
        <v>1350</v>
      </c>
      <c r="B743" s="395" t="s">
        <v>299</v>
      </c>
      <c r="C743" s="395" t="s">
        <v>118</v>
      </c>
      <c r="D743" s="395" t="s">
        <v>267</v>
      </c>
      <c r="E743" s="395"/>
      <c r="F743" s="388">
        <f>F744+F752+F758+F762+F769+F773+F777+F781</f>
        <v>56956.179999999993</v>
      </c>
      <c r="G743" s="388">
        <f>G744+G752+G758+G762+G769+G773+G777+G781</f>
        <v>58156.179999999993</v>
      </c>
    </row>
    <row r="744" spans="1:9" ht="47.25" x14ac:dyDescent="0.25">
      <c r="A744" s="394" t="s">
        <v>1297</v>
      </c>
      <c r="B744" s="395" t="s">
        <v>299</v>
      </c>
      <c r="C744" s="395" t="s">
        <v>118</v>
      </c>
      <c r="D744" s="395" t="s">
        <v>1201</v>
      </c>
      <c r="E744" s="395"/>
      <c r="F744" s="388">
        <f>F745</f>
        <v>51840.479999999996</v>
      </c>
      <c r="G744" s="388">
        <f>G745</f>
        <v>51840.479999999996</v>
      </c>
    </row>
    <row r="745" spans="1:9" ht="31.5" x14ac:dyDescent="0.25">
      <c r="A745" s="396" t="s">
        <v>800</v>
      </c>
      <c r="B745" s="392" t="s">
        <v>299</v>
      </c>
      <c r="C745" s="392" t="s">
        <v>118</v>
      </c>
      <c r="D745" s="392" t="s">
        <v>1202</v>
      </c>
      <c r="E745" s="392"/>
      <c r="F745" s="389">
        <f>F746+F748+F750</f>
        <v>51840.479999999996</v>
      </c>
      <c r="G745" s="389">
        <f>G746+G748+G750</f>
        <v>51840.479999999996</v>
      </c>
    </row>
    <row r="746" spans="1:9" ht="94.5" x14ac:dyDescent="0.25">
      <c r="A746" s="396" t="s">
        <v>127</v>
      </c>
      <c r="B746" s="392" t="s">
        <v>299</v>
      </c>
      <c r="C746" s="392" t="s">
        <v>118</v>
      </c>
      <c r="D746" s="392" t="s">
        <v>1202</v>
      </c>
      <c r="E746" s="392" t="s">
        <v>128</v>
      </c>
      <c r="F746" s="389">
        <f>F747</f>
        <v>43271.28</v>
      </c>
      <c r="G746" s="389">
        <f>G747</f>
        <v>43271.28</v>
      </c>
    </row>
    <row r="747" spans="1:9" ht="31.5" x14ac:dyDescent="0.25">
      <c r="A747" s="396" t="s">
        <v>208</v>
      </c>
      <c r="B747" s="392" t="s">
        <v>299</v>
      </c>
      <c r="C747" s="392" t="s">
        <v>118</v>
      </c>
      <c r="D747" s="392" t="s">
        <v>1202</v>
      </c>
      <c r="E747" s="392" t="s">
        <v>209</v>
      </c>
      <c r="F747" s="389">
        <f>'пр.6.1.ведом.22-23 (2)'!G363</f>
        <v>43271.28</v>
      </c>
      <c r="G747" s="389">
        <f>'пр.6.1.ведом.22-23 (2)'!H363</f>
        <v>43271.28</v>
      </c>
    </row>
    <row r="748" spans="1:9" ht="31.5" x14ac:dyDescent="0.25">
      <c r="A748" s="396" t="s">
        <v>131</v>
      </c>
      <c r="B748" s="392" t="s">
        <v>299</v>
      </c>
      <c r="C748" s="392" t="s">
        <v>118</v>
      </c>
      <c r="D748" s="392" t="s">
        <v>1202</v>
      </c>
      <c r="E748" s="392" t="s">
        <v>132</v>
      </c>
      <c r="F748" s="389">
        <f>F749</f>
        <v>8506.2000000000007</v>
      </c>
      <c r="G748" s="389">
        <f>G749</f>
        <v>8506.2000000000007</v>
      </c>
    </row>
    <row r="749" spans="1:9" ht="47.25" x14ac:dyDescent="0.25">
      <c r="A749" s="396" t="s">
        <v>133</v>
      </c>
      <c r="B749" s="392" t="s">
        <v>299</v>
      </c>
      <c r="C749" s="392" t="s">
        <v>118</v>
      </c>
      <c r="D749" s="392" t="s">
        <v>1202</v>
      </c>
      <c r="E749" s="392" t="s">
        <v>134</v>
      </c>
      <c r="F749" s="389">
        <f>'пр.6.1.ведом.22-23 (2)'!G365</f>
        <v>8506.2000000000007</v>
      </c>
      <c r="G749" s="389">
        <f>'пр.6.1.ведом.22-23 (2)'!H365</f>
        <v>8506.2000000000007</v>
      </c>
    </row>
    <row r="750" spans="1:9" ht="15.75" x14ac:dyDescent="0.25">
      <c r="A750" s="396" t="s">
        <v>135</v>
      </c>
      <c r="B750" s="392" t="s">
        <v>299</v>
      </c>
      <c r="C750" s="392" t="s">
        <v>118</v>
      </c>
      <c r="D750" s="392" t="s">
        <v>1202</v>
      </c>
      <c r="E750" s="392" t="s">
        <v>145</v>
      </c>
      <c r="F750" s="389">
        <f>F751</f>
        <v>63</v>
      </c>
      <c r="G750" s="389">
        <f>G751</f>
        <v>63</v>
      </c>
    </row>
    <row r="751" spans="1:9" ht="15.75" x14ac:dyDescent="0.25">
      <c r="A751" s="396" t="s">
        <v>568</v>
      </c>
      <c r="B751" s="392" t="s">
        <v>299</v>
      </c>
      <c r="C751" s="392" t="s">
        <v>118</v>
      </c>
      <c r="D751" s="392" t="s">
        <v>1202</v>
      </c>
      <c r="E751" s="392" t="s">
        <v>138</v>
      </c>
      <c r="F751" s="389">
        <f>'пр.6.1.ведом.22-23 (2)'!G367</f>
        <v>63</v>
      </c>
      <c r="G751" s="389">
        <f>'пр.6.1.ведом.22-23 (2)'!H367</f>
        <v>63</v>
      </c>
    </row>
    <row r="752" spans="1:9" ht="31.5" x14ac:dyDescent="0.25">
      <c r="A752" s="201" t="s">
        <v>1299</v>
      </c>
      <c r="B752" s="395" t="s">
        <v>299</v>
      </c>
      <c r="C752" s="395" t="s">
        <v>118</v>
      </c>
      <c r="D752" s="395" t="s">
        <v>1203</v>
      </c>
      <c r="E752" s="395"/>
      <c r="F752" s="388">
        <f>F753</f>
        <v>1380</v>
      </c>
      <c r="G752" s="388">
        <f>G753</f>
        <v>1380</v>
      </c>
    </row>
    <row r="753" spans="1:7" ht="31.5" x14ac:dyDescent="0.25">
      <c r="A753" s="31" t="s">
        <v>815</v>
      </c>
      <c r="B753" s="392" t="s">
        <v>299</v>
      </c>
      <c r="C753" s="392" t="s">
        <v>118</v>
      </c>
      <c r="D753" s="392" t="s">
        <v>1205</v>
      </c>
      <c r="E753" s="392"/>
      <c r="F753" s="389">
        <f>F756</f>
        <v>1380</v>
      </c>
      <c r="G753" s="389">
        <f>G756</f>
        <v>1380</v>
      </c>
    </row>
    <row r="754" spans="1:7" ht="94.5" hidden="1" x14ac:dyDescent="0.25">
      <c r="A754" s="396" t="s">
        <v>127</v>
      </c>
      <c r="B754" s="392" t="s">
        <v>299</v>
      </c>
      <c r="C754" s="392" t="s">
        <v>118</v>
      </c>
      <c r="D754" s="392" t="s">
        <v>1205</v>
      </c>
      <c r="E754" s="392" t="s">
        <v>128</v>
      </c>
      <c r="F754" s="389">
        <f>'[1]Пр.4 Рд,пр, ЦС,ВР 21'!F753</f>
        <v>983</v>
      </c>
      <c r="G754" s="389">
        <f>'[1]Пр.4 Рд,пр, ЦС,ВР 21'!G753</f>
        <v>0</v>
      </c>
    </row>
    <row r="755" spans="1:7" ht="31.5" hidden="1" x14ac:dyDescent="0.25">
      <c r="A755" s="396" t="s">
        <v>208</v>
      </c>
      <c r="B755" s="392" t="s">
        <v>299</v>
      </c>
      <c r="C755" s="392" t="s">
        <v>118</v>
      </c>
      <c r="D755" s="392" t="s">
        <v>1205</v>
      </c>
      <c r="E755" s="392" t="s">
        <v>209</v>
      </c>
      <c r="F755" s="389">
        <f>'[1]Пр.4 Рд,пр, ЦС,ВР 21'!F754</f>
        <v>983</v>
      </c>
      <c r="G755" s="389">
        <f>'[1]Пр.4 Рд,пр, ЦС,ВР 21'!G754</f>
        <v>0</v>
      </c>
    </row>
    <row r="756" spans="1:7" ht="31.5" x14ac:dyDescent="0.25">
      <c r="A756" s="396" t="s">
        <v>131</v>
      </c>
      <c r="B756" s="392" t="s">
        <v>299</v>
      </c>
      <c r="C756" s="392" t="s">
        <v>118</v>
      </c>
      <c r="D756" s="392" t="s">
        <v>1205</v>
      </c>
      <c r="E756" s="392" t="s">
        <v>132</v>
      </c>
      <c r="F756" s="389">
        <f>F757</f>
        <v>1380</v>
      </c>
      <c r="G756" s="389">
        <f>G757</f>
        <v>1380</v>
      </c>
    </row>
    <row r="757" spans="1:7" ht="47.25" x14ac:dyDescent="0.25">
      <c r="A757" s="396" t="s">
        <v>133</v>
      </c>
      <c r="B757" s="392" t="s">
        <v>299</v>
      </c>
      <c r="C757" s="392" t="s">
        <v>118</v>
      </c>
      <c r="D757" s="392" t="s">
        <v>1205</v>
      </c>
      <c r="E757" s="392" t="s">
        <v>134</v>
      </c>
      <c r="F757" s="389">
        <f>'пр.6.1.ведом.22-23 (2)'!G373</f>
        <v>1380</v>
      </c>
      <c r="G757" s="389">
        <f>'пр.6.1.ведом.22-23 (2)'!H373</f>
        <v>1380</v>
      </c>
    </row>
    <row r="758" spans="1:7" ht="47.25" x14ac:dyDescent="0.25">
      <c r="A758" s="394" t="s">
        <v>946</v>
      </c>
      <c r="B758" s="395" t="s">
        <v>299</v>
      </c>
      <c r="C758" s="395" t="s">
        <v>118</v>
      </c>
      <c r="D758" s="395" t="s">
        <v>1206</v>
      </c>
      <c r="E758" s="395"/>
      <c r="F758" s="388">
        <f t="shared" ref="F758:G760" si="73">F759</f>
        <v>875</v>
      </c>
      <c r="G758" s="388">
        <f t="shared" si="73"/>
        <v>875</v>
      </c>
    </row>
    <row r="759" spans="1:7" ht="47.25" x14ac:dyDescent="0.25">
      <c r="A759" s="396" t="s">
        <v>838</v>
      </c>
      <c r="B759" s="392" t="s">
        <v>299</v>
      </c>
      <c r="C759" s="392" t="s">
        <v>118</v>
      </c>
      <c r="D759" s="392" t="s">
        <v>1207</v>
      </c>
      <c r="E759" s="392"/>
      <c r="F759" s="389">
        <f t="shared" si="73"/>
        <v>875</v>
      </c>
      <c r="G759" s="389">
        <f t="shared" si="73"/>
        <v>875</v>
      </c>
    </row>
    <row r="760" spans="1:7" ht="94.5" x14ac:dyDescent="0.25">
      <c r="A760" s="396" t="s">
        <v>127</v>
      </c>
      <c r="B760" s="392" t="s">
        <v>299</v>
      </c>
      <c r="C760" s="392" t="s">
        <v>118</v>
      </c>
      <c r="D760" s="392" t="s">
        <v>1207</v>
      </c>
      <c r="E760" s="392" t="s">
        <v>128</v>
      </c>
      <c r="F760" s="389">
        <f t="shared" si="73"/>
        <v>875</v>
      </c>
      <c r="G760" s="389">
        <f t="shared" si="73"/>
        <v>875</v>
      </c>
    </row>
    <row r="761" spans="1:7" ht="33.75" customHeight="1" x14ac:dyDescent="0.25">
      <c r="A761" s="396" t="s">
        <v>129</v>
      </c>
      <c r="B761" s="392" t="s">
        <v>299</v>
      </c>
      <c r="C761" s="392" t="s">
        <v>118</v>
      </c>
      <c r="D761" s="392" t="s">
        <v>1207</v>
      </c>
      <c r="E761" s="392" t="s">
        <v>209</v>
      </c>
      <c r="F761" s="389">
        <f>'пр.6.1.ведом.22-23 (2)'!G377</f>
        <v>875</v>
      </c>
      <c r="G761" s="389">
        <f>'пр.6.1.ведом.22-23 (2)'!H377</f>
        <v>875</v>
      </c>
    </row>
    <row r="762" spans="1:7" ht="50.25" customHeight="1" x14ac:dyDescent="0.25">
      <c r="A762" s="202" t="s">
        <v>899</v>
      </c>
      <c r="B762" s="395" t="s">
        <v>299</v>
      </c>
      <c r="C762" s="395" t="s">
        <v>118</v>
      </c>
      <c r="D762" s="395" t="s">
        <v>1208</v>
      </c>
      <c r="E762" s="395"/>
      <c r="F762" s="388">
        <f>F763+F766</f>
        <v>2442</v>
      </c>
      <c r="G762" s="388">
        <f>G763+G766</f>
        <v>2442</v>
      </c>
    </row>
    <row r="763" spans="1:7" ht="110.85" customHeight="1" x14ac:dyDescent="0.25">
      <c r="A763" s="31" t="s">
        <v>293</v>
      </c>
      <c r="B763" s="392" t="s">
        <v>299</v>
      </c>
      <c r="C763" s="392" t="s">
        <v>118</v>
      </c>
      <c r="D763" s="392" t="s">
        <v>1402</v>
      </c>
      <c r="E763" s="392"/>
      <c r="F763" s="389">
        <f t="shared" ref="F763:G764" si="74">F764</f>
        <v>2100.6</v>
      </c>
      <c r="G763" s="389">
        <f t="shared" si="74"/>
        <v>2100.6</v>
      </c>
    </row>
    <row r="764" spans="1:7" ht="100.15" customHeight="1" x14ac:dyDescent="0.25">
      <c r="A764" s="396" t="s">
        <v>127</v>
      </c>
      <c r="B764" s="392" t="s">
        <v>299</v>
      </c>
      <c r="C764" s="392" t="s">
        <v>118</v>
      </c>
      <c r="D764" s="392" t="s">
        <v>1402</v>
      </c>
      <c r="E764" s="392" t="s">
        <v>128</v>
      </c>
      <c r="F764" s="389">
        <f t="shared" si="74"/>
        <v>2100.6</v>
      </c>
      <c r="G764" s="389">
        <f t="shared" si="74"/>
        <v>2100.6</v>
      </c>
    </row>
    <row r="765" spans="1:7" ht="40.15" customHeight="1" x14ac:dyDescent="0.25">
      <c r="A765" s="396" t="s">
        <v>208</v>
      </c>
      <c r="B765" s="392" t="s">
        <v>299</v>
      </c>
      <c r="C765" s="392" t="s">
        <v>118</v>
      </c>
      <c r="D765" s="392" t="s">
        <v>1402</v>
      </c>
      <c r="E765" s="392" t="s">
        <v>209</v>
      </c>
      <c r="F765" s="389">
        <f>'пр.6.1.ведом.22-23 (2)'!G381</f>
        <v>2100.6</v>
      </c>
      <c r="G765" s="389">
        <f>'пр.6.1.ведом.22-23 (2)'!H381</f>
        <v>2100.6</v>
      </c>
    </row>
    <row r="766" spans="1:7" ht="78" customHeight="1" x14ac:dyDescent="0.25">
      <c r="A766" s="396" t="s">
        <v>331</v>
      </c>
      <c r="B766" s="392" t="s">
        <v>299</v>
      </c>
      <c r="C766" s="392" t="s">
        <v>118</v>
      </c>
      <c r="D766" s="392" t="s">
        <v>1289</v>
      </c>
      <c r="E766" s="392"/>
      <c r="F766" s="397">
        <f>F767</f>
        <v>341.4</v>
      </c>
      <c r="G766" s="397">
        <f>G767</f>
        <v>341.4</v>
      </c>
    </row>
    <row r="767" spans="1:7" ht="98.45" customHeight="1" x14ac:dyDescent="0.25">
      <c r="A767" s="396" t="s">
        <v>127</v>
      </c>
      <c r="B767" s="392" t="s">
        <v>299</v>
      </c>
      <c r="C767" s="392" t="s">
        <v>118</v>
      </c>
      <c r="D767" s="392" t="s">
        <v>1289</v>
      </c>
      <c r="E767" s="392" t="s">
        <v>128</v>
      </c>
      <c r="F767" s="397">
        <f>F768</f>
        <v>341.4</v>
      </c>
      <c r="G767" s="397">
        <f>G768</f>
        <v>341.4</v>
      </c>
    </row>
    <row r="768" spans="1:7" ht="50.25" customHeight="1" x14ac:dyDescent="0.25">
      <c r="A768" s="396" t="s">
        <v>208</v>
      </c>
      <c r="B768" s="392" t="s">
        <v>299</v>
      </c>
      <c r="C768" s="392" t="s">
        <v>118</v>
      </c>
      <c r="D768" s="392" t="s">
        <v>1289</v>
      </c>
      <c r="E768" s="392" t="s">
        <v>209</v>
      </c>
      <c r="F768" s="397">
        <f>'пр.6.1.ведом.22-23 (2)'!G384</f>
        <v>341.4</v>
      </c>
      <c r="G768" s="397">
        <f>'пр.6.1.ведом.22-23 (2)'!H384</f>
        <v>341.4</v>
      </c>
    </row>
    <row r="769" spans="1:7" ht="31.5" x14ac:dyDescent="0.25">
      <c r="A769" s="394" t="s">
        <v>901</v>
      </c>
      <c r="B769" s="395" t="s">
        <v>299</v>
      </c>
      <c r="C769" s="395" t="s">
        <v>118</v>
      </c>
      <c r="D769" s="395" t="s">
        <v>1213</v>
      </c>
      <c r="E769" s="395"/>
      <c r="F769" s="393">
        <f t="shared" ref="F769:G771" si="75">F770</f>
        <v>50</v>
      </c>
      <c r="G769" s="393">
        <f t="shared" si="75"/>
        <v>50</v>
      </c>
    </row>
    <row r="770" spans="1:7" ht="31.5" x14ac:dyDescent="0.25">
      <c r="A770" s="396" t="s">
        <v>820</v>
      </c>
      <c r="B770" s="392" t="s">
        <v>299</v>
      </c>
      <c r="C770" s="392" t="s">
        <v>118</v>
      </c>
      <c r="D770" s="392" t="s">
        <v>1214</v>
      </c>
      <c r="E770" s="392"/>
      <c r="F770" s="397">
        <f t="shared" si="75"/>
        <v>50</v>
      </c>
      <c r="G770" s="397">
        <f t="shared" si="75"/>
        <v>50</v>
      </c>
    </row>
    <row r="771" spans="1:7" ht="31.5" x14ac:dyDescent="0.25">
      <c r="A771" s="396" t="s">
        <v>131</v>
      </c>
      <c r="B771" s="392" t="s">
        <v>299</v>
      </c>
      <c r="C771" s="392" t="s">
        <v>118</v>
      </c>
      <c r="D771" s="392" t="s">
        <v>1214</v>
      </c>
      <c r="E771" s="392" t="s">
        <v>132</v>
      </c>
      <c r="F771" s="397">
        <f t="shared" si="75"/>
        <v>50</v>
      </c>
      <c r="G771" s="397">
        <f t="shared" si="75"/>
        <v>50</v>
      </c>
    </row>
    <row r="772" spans="1:7" ht="47.25" x14ac:dyDescent="0.25">
      <c r="A772" s="396" t="s">
        <v>133</v>
      </c>
      <c r="B772" s="392" t="s">
        <v>299</v>
      </c>
      <c r="C772" s="392" t="s">
        <v>118</v>
      </c>
      <c r="D772" s="392" t="s">
        <v>1214</v>
      </c>
      <c r="E772" s="392" t="s">
        <v>134</v>
      </c>
      <c r="F772" s="397">
        <f>'пр.6.1.ведом.22-23 (2)'!G388</f>
        <v>50</v>
      </c>
      <c r="G772" s="397">
        <f>'пр.6.1.ведом.22-23 (2)'!H388</f>
        <v>50</v>
      </c>
    </row>
    <row r="773" spans="1:7" ht="31.5" x14ac:dyDescent="0.25">
      <c r="A773" s="394" t="s">
        <v>1009</v>
      </c>
      <c r="B773" s="395" t="s">
        <v>299</v>
      </c>
      <c r="C773" s="395" t="s">
        <v>118</v>
      </c>
      <c r="D773" s="395" t="s">
        <v>1215</v>
      </c>
      <c r="E773" s="395"/>
      <c r="F773" s="393">
        <f t="shared" ref="F773:G775" si="76">F774</f>
        <v>68.7</v>
      </c>
      <c r="G773" s="393">
        <f t="shared" si="76"/>
        <v>68.7</v>
      </c>
    </row>
    <row r="774" spans="1:7" ht="47.25" x14ac:dyDescent="0.25">
      <c r="A774" s="396" t="s">
        <v>1465</v>
      </c>
      <c r="B774" s="392" t="s">
        <v>299</v>
      </c>
      <c r="C774" s="392" t="s">
        <v>118</v>
      </c>
      <c r="D774" s="392" t="s">
        <v>1216</v>
      </c>
      <c r="E774" s="392"/>
      <c r="F774" s="397">
        <f t="shared" si="76"/>
        <v>68.7</v>
      </c>
      <c r="G774" s="397">
        <f t="shared" si="76"/>
        <v>68.7</v>
      </c>
    </row>
    <row r="775" spans="1:7" ht="31.5" x14ac:dyDescent="0.25">
      <c r="A775" s="396" t="s">
        <v>131</v>
      </c>
      <c r="B775" s="392" t="s">
        <v>299</v>
      </c>
      <c r="C775" s="392" t="s">
        <v>118</v>
      </c>
      <c r="D775" s="392" t="s">
        <v>1216</v>
      </c>
      <c r="E775" s="392" t="s">
        <v>132</v>
      </c>
      <c r="F775" s="397">
        <f t="shared" si="76"/>
        <v>68.7</v>
      </c>
      <c r="G775" s="397">
        <f t="shared" si="76"/>
        <v>68.7</v>
      </c>
    </row>
    <row r="776" spans="1:7" ht="47.25" x14ac:dyDescent="0.25">
      <c r="A776" s="396" t="s">
        <v>133</v>
      </c>
      <c r="B776" s="392" t="s">
        <v>299</v>
      </c>
      <c r="C776" s="392" t="s">
        <v>118</v>
      </c>
      <c r="D776" s="392" t="s">
        <v>1216</v>
      </c>
      <c r="E776" s="392" t="s">
        <v>134</v>
      </c>
      <c r="F776" s="397">
        <f>'пр.6.1.ведом.22-23 (2)'!G392</f>
        <v>68.7</v>
      </c>
      <c r="G776" s="397">
        <f>'пр.6.1.ведом.22-23 (2)'!H392</f>
        <v>68.7</v>
      </c>
    </row>
    <row r="777" spans="1:7" ht="31.5" x14ac:dyDescent="0.25">
      <c r="A777" s="195" t="s">
        <v>1177</v>
      </c>
      <c r="B777" s="395" t="s">
        <v>299</v>
      </c>
      <c r="C777" s="395" t="s">
        <v>118</v>
      </c>
      <c r="D777" s="395" t="s">
        <v>1309</v>
      </c>
      <c r="E777" s="395"/>
      <c r="F777" s="393">
        <f t="shared" ref="F777:G777" si="77">F778</f>
        <v>300</v>
      </c>
      <c r="G777" s="393">
        <f t="shared" si="77"/>
        <v>1500</v>
      </c>
    </row>
    <row r="778" spans="1:7" ht="63" x14ac:dyDescent="0.25">
      <c r="A778" s="98" t="s">
        <v>1165</v>
      </c>
      <c r="B778" s="392" t="s">
        <v>299</v>
      </c>
      <c r="C778" s="392" t="s">
        <v>118</v>
      </c>
      <c r="D778" s="392" t="s">
        <v>1212</v>
      </c>
      <c r="E778" s="392"/>
      <c r="F778" s="397">
        <f>F779</f>
        <v>300</v>
      </c>
      <c r="G778" s="397">
        <f>G779</f>
        <v>1500</v>
      </c>
    </row>
    <row r="779" spans="1:7" ht="31.5" x14ac:dyDescent="0.25">
      <c r="A779" s="396" t="s">
        <v>131</v>
      </c>
      <c r="B779" s="392" t="s">
        <v>299</v>
      </c>
      <c r="C779" s="392" t="s">
        <v>118</v>
      </c>
      <c r="D779" s="392" t="s">
        <v>1212</v>
      </c>
      <c r="E779" s="392" t="s">
        <v>132</v>
      </c>
      <c r="F779" s="397">
        <f>F780</f>
        <v>300</v>
      </c>
      <c r="G779" s="397">
        <f>G780</f>
        <v>1500</v>
      </c>
    </row>
    <row r="780" spans="1:7" ht="47.25" x14ac:dyDescent="0.25">
      <c r="A780" s="396" t="s">
        <v>133</v>
      </c>
      <c r="B780" s="392" t="s">
        <v>299</v>
      </c>
      <c r="C780" s="392" t="s">
        <v>118</v>
      </c>
      <c r="D780" s="392" t="s">
        <v>1212</v>
      </c>
      <c r="E780" s="392" t="s">
        <v>134</v>
      </c>
      <c r="F780" s="397">
        <f>'пр.6.1.ведом.22-23 (2)'!G396</f>
        <v>300</v>
      </c>
      <c r="G780" s="397">
        <f>'пр.6.1.ведом.22-23 (2)'!H396</f>
        <v>1500</v>
      </c>
    </row>
    <row r="781" spans="1:7" ht="31.5" hidden="1" x14ac:dyDescent="0.25">
      <c r="A781" s="302" t="s">
        <v>1330</v>
      </c>
      <c r="B781" s="395" t="s">
        <v>299</v>
      </c>
      <c r="C781" s="395" t="s">
        <v>118</v>
      </c>
      <c r="D781" s="395"/>
      <c r="E781" s="395"/>
      <c r="F781" s="393">
        <f t="shared" ref="F781:G783" si="78">F782</f>
        <v>0</v>
      </c>
      <c r="G781" s="393">
        <f t="shared" si="78"/>
        <v>0</v>
      </c>
    </row>
    <row r="782" spans="1:7" ht="15.75" hidden="1" x14ac:dyDescent="0.25">
      <c r="A782" s="396"/>
      <c r="B782" s="392" t="s">
        <v>299</v>
      </c>
      <c r="C782" s="392" t="s">
        <v>118</v>
      </c>
      <c r="D782" s="392"/>
      <c r="E782" s="392"/>
      <c r="F782" s="397">
        <f t="shared" si="78"/>
        <v>0</v>
      </c>
      <c r="G782" s="397">
        <f t="shared" si="78"/>
        <v>0</v>
      </c>
    </row>
    <row r="783" spans="1:7" ht="15.75" hidden="1" x14ac:dyDescent="0.25">
      <c r="A783" s="396"/>
      <c r="B783" s="392" t="s">
        <v>299</v>
      </c>
      <c r="C783" s="392" t="s">
        <v>118</v>
      </c>
      <c r="D783" s="392"/>
      <c r="E783" s="392" t="s">
        <v>132</v>
      </c>
      <c r="F783" s="397">
        <f t="shared" si="78"/>
        <v>0</v>
      </c>
      <c r="G783" s="397">
        <f t="shared" si="78"/>
        <v>0</v>
      </c>
    </row>
    <row r="784" spans="1:7" ht="15.75" hidden="1" x14ac:dyDescent="0.25">
      <c r="A784" s="396"/>
      <c r="B784" s="392" t="s">
        <v>299</v>
      </c>
      <c r="C784" s="392" t="s">
        <v>118</v>
      </c>
      <c r="D784" s="392"/>
      <c r="E784" s="392" t="s">
        <v>134</v>
      </c>
      <c r="F784" s="397">
        <f>'пр.6.1.ведом.22-23 (2)'!G400</f>
        <v>0</v>
      </c>
      <c r="G784" s="397">
        <f>'пр.6.1.ведом.22-23 (2)'!H400</f>
        <v>0</v>
      </c>
    </row>
    <row r="785" spans="1:7" ht="63" x14ac:dyDescent="0.25">
      <c r="A785" s="34" t="s">
        <v>1356</v>
      </c>
      <c r="B785" s="395" t="s">
        <v>299</v>
      </c>
      <c r="C785" s="395" t="s">
        <v>118</v>
      </c>
      <c r="D785" s="395" t="s">
        <v>324</v>
      </c>
      <c r="E785" s="395"/>
      <c r="F785" s="333">
        <f t="shared" ref="F785:G788" si="79">F786</f>
        <v>10</v>
      </c>
      <c r="G785" s="333">
        <f t="shared" si="79"/>
        <v>0</v>
      </c>
    </row>
    <row r="786" spans="1:7" ht="63" x14ac:dyDescent="0.25">
      <c r="A786" s="34" t="s">
        <v>1024</v>
      </c>
      <c r="B786" s="395" t="s">
        <v>299</v>
      </c>
      <c r="C786" s="395" t="s">
        <v>118</v>
      </c>
      <c r="D786" s="395" t="s">
        <v>933</v>
      </c>
      <c r="E786" s="395"/>
      <c r="F786" s="388">
        <f t="shared" si="79"/>
        <v>10</v>
      </c>
      <c r="G786" s="388">
        <f t="shared" si="79"/>
        <v>0</v>
      </c>
    </row>
    <row r="787" spans="1:7" ht="47.25" x14ac:dyDescent="0.25">
      <c r="A787" s="31" t="s">
        <v>1080</v>
      </c>
      <c r="B787" s="392" t="s">
        <v>299</v>
      </c>
      <c r="C787" s="392" t="s">
        <v>118</v>
      </c>
      <c r="D787" s="392" t="s">
        <v>1025</v>
      </c>
      <c r="E787" s="392"/>
      <c r="F787" s="389">
        <f t="shared" si="79"/>
        <v>10</v>
      </c>
      <c r="G787" s="389">
        <f t="shared" si="79"/>
        <v>0</v>
      </c>
    </row>
    <row r="788" spans="1:7" ht="31.5" x14ac:dyDescent="0.25">
      <c r="A788" s="396" t="s">
        <v>131</v>
      </c>
      <c r="B788" s="392" t="s">
        <v>299</v>
      </c>
      <c r="C788" s="392" t="s">
        <v>118</v>
      </c>
      <c r="D788" s="392" t="s">
        <v>1025</v>
      </c>
      <c r="E788" s="392" t="s">
        <v>132</v>
      </c>
      <c r="F788" s="389">
        <f t="shared" si="79"/>
        <v>10</v>
      </c>
      <c r="G788" s="389">
        <f t="shared" si="79"/>
        <v>0</v>
      </c>
    </row>
    <row r="789" spans="1:7" ht="47.25" x14ac:dyDescent="0.25">
      <c r="A789" s="396" t="s">
        <v>133</v>
      </c>
      <c r="B789" s="392" t="s">
        <v>299</v>
      </c>
      <c r="C789" s="392" t="s">
        <v>118</v>
      </c>
      <c r="D789" s="392" t="s">
        <v>1025</v>
      </c>
      <c r="E789" s="392" t="s">
        <v>134</v>
      </c>
      <c r="F789" s="389">
        <f>'пр.6.1.ведом.22-23 (2)'!G405</f>
        <v>10</v>
      </c>
      <c r="G789" s="389">
        <f>'пр.6.1.ведом.22-23 (2)'!H405</f>
        <v>0</v>
      </c>
    </row>
    <row r="790" spans="1:7" ht="63" x14ac:dyDescent="0.25">
      <c r="A790" s="400" t="s">
        <v>1351</v>
      </c>
      <c r="B790" s="395" t="s">
        <v>299</v>
      </c>
      <c r="C790" s="395" t="s">
        <v>118</v>
      </c>
      <c r="D790" s="395" t="s">
        <v>705</v>
      </c>
      <c r="E790" s="403"/>
      <c r="F790" s="388">
        <f t="shared" ref="F790:G793" si="80">F791</f>
        <v>878.7</v>
      </c>
      <c r="G790" s="388">
        <f t="shared" si="80"/>
        <v>913.9</v>
      </c>
    </row>
    <row r="791" spans="1:7" ht="63" x14ac:dyDescent="0.25">
      <c r="A791" s="400" t="s">
        <v>889</v>
      </c>
      <c r="B791" s="395" t="s">
        <v>299</v>
      </c>
      <c r="C791" s="395" t="s">
        <v>118</v>
      </c>
      <c r="D791" s="395" t="s">
        <v>887</v>
      </c>
      <c r="E791" s="403"/>
      <c r="F791" s="388">
        <f t="shared" si="80"/>
        <v>878.7</v>
      </c>
      <c r="G791" s="388">
        <f t="shared" si="80"/>
        <v>913.9</v>
      </c>
    </row>
    <row r="792" spans="1:7" ht="47.25" x14ac:dyDescent="0.25">
      <c r="A792" s="98" t="s">
        <v>1021</v>
      </c>
      <c r="B792" s="392" t="s">
        <v>299</v>
      </c>
      <c r="C792" s="392" t="s">
        <v>118</v>
      </c>
      <c r="D792" s="392" t="s">
        <v>888</v>
      </c>
      <c r="E792" s="398"/>
      <c r="F792" s="389">
        <f t="shared" si="80"/>
        <v>878.7</v>
      </c>
      <c r="G792" s="389">
        <f t="shared" si="80"/>
        <v>913.9</v>
      </c>
    </row>
    <row r="793" spans="1:7" ht="31.5" x14ac:dyDescent="0.25">
      <c r="A793" s="396" t="s">
        <v>131</v>
      </c>
      <c r="B793" s="392" t="s">
        <v>299</v>
      </c>
      <c r="C793" s="392" t="s">
        <v>118</v>
      </c>
      <c r="D793" s="392" t="s">
        <v>888</v>
      </c>
      <c r="E793" s="398" t="s">
        <v>132</v>
      </c>
      <c r="F793" s="389">
        <f t="shared" si="80"/>
        <v>878.7</v>
      </c>
      <c r="G793" s="389">
        <f t="shared" si="80"/>
        <v>913.9</v>
      </c>
    </row>
    <row r="794" spans="1:7" ht="47.25" x14ac:dyDescent="0.25">
      <c r="A794" s="396" t="s">
        <v>133</v>
      </c>
      <c r="B794" s="392" t="s">
        <v>299</v>
      </c>
      <c r="C794" s="392" t="s">
        <v>118</v>
      </c>
      <c r="D794" s="392" t="s">
        <v>888</v>
      </c>
      <c r="E794" s="398" t="s">
        <v>134</v>
      </c>
      <c r="F794" s="389">
        <f>'пр.6.1.ведом.22-23 (2)'!G410</f>
        <v>878.7</v>
      </c>
      <c r="G794" s="389">
        <f>'пр.6.1.ведом.22-23 (2)'!H410</f>
        <v>913.9</v>
      </c>
    </row>
    <row r="795" spans="1:7" ht="31.5" x14ac:dyDescent="0.25">
      <c r="A795" s="394" t="s">
        <v>333</v>
      </c>
      <c r="B795" s="395" t="s">
        <v>299</v>
      </c>
      <c r="C795" s="395" t="s">
        <v>150</v>
      </c>
      <c r="D795" s="395"/>
      <c r="E795" s="398"/>
      <c r="F795" s="388">
        <f>F796+F806+F818+F824</f>
        <v>18566.400000000001</v>
      </c>
      <c r="G795" s="388">
        <f>G796+G806+G818+G824</f>
        <v>18595.400000000001</v>
      </c>
    </row>
    <row r="796" spans="1:7" ht="31.5" x14ac:dyDescent="0.25">
      <c r="A796" s="394" t="s">
        <v>916</v>
      </c>
      <c r="B796" s="395" t="s">
        <v>299</v>
      </c>
      <c r="C796" s="395" t="s">
        <v>150</v>
      </c>
      <c r="D796" s="395" t="s">
        <v>857</v>
      </c>
      <c r="E796" s="398"/>
      <c r="F796" s="388">
        <f>F797</f>
        <v>7291.6</v>
      </c>
      <c r="G796" s="388">
        <f>G797</f>
        <v>7291.6</v>
      </c>
    </row>
    <row r="797" spans="1:7" ht="15.75" x14ac:dyDescent="0.25">
      <c r="A797" s="394" t="s">
        <v>917</v>
      </c>
      <c r="B797" s="395" t="s">
        <v>299</v>
      </c>
      <c r="C797" s="395" t="s">
        <v>150</v>
      </c>
      <c r="D797" s="395" t="s">
        <v>858</v>
      </c>
      <c r="E797" s="398"/>
      <c r="F797" s="388">
        <f>F798+F803</f>
        <v>7291.6</v>
      </c>
      <c r="G797" s="388">
        <f>G798+G803</f>
        <v>7291.6</v>
      </c>
    </row>
    <row r="798" spans="1:7" ht="31.5" x14ac:dyDescent="0.25">
      <c r="A798" s="396" t="s">
        <v>896</v>
      </c>
      <c r="B798" s="392" t="s">
        <v>299</v>
      </c>
      <c r="C798" s="392" t="s">
        <v>150</v>
      </c>
      <c r="D798" s="392" t="s">
        <v>859</v>
      </c>
      <c r="E798" s="398"/>
      <c r="F798" s="389">
        <f>F799</f>
        <v>7015.6</v>
      </c>
      <c r="G798" s="389">
        <f>G799</f>
        <v>7015.6</v>
      </c>
    </row>
    <row r="799" spans="1:7" ht="94.5" x14ac:dyDescent="0.25">
      <c r="A799" s="396" t="s">
        <v>127</v>
      </c>
      <c r="B799" s="392" t="s">
        <v>299</v>
      </c>
      <c r="C799" s="392" t="s">
        <v>150</v>
      </c>
      <c r="D799" s="392" t="s">
        <v>859</v>
      </c>
      <c r="E799" s="398" t="s">
        <v>128</v>
      </c>
      <c r="F799" s="389">
        <f>F800</f>
        <v>7015.6</v>
      </c>
      <c r="G799" s="389">
        <f>G800</f>
        <v>7015.6</v>
      </c>
    </row>
    <row r="800" spans="1:7" ht="31.5" x14ac:dyDescent="0.25">
      <c r="A800" s="396" t="s">
        <v>129</v>
      </c>
      <c r="B800" s="392" t="s">
        <v>299</v>
      </c>
      <c r="C800" s="392" t="s">
        <v>150</v>
      </c>
      <c r="D800" s="392" t="s">
        <v>859</v>
      </c>
      <c r="E800" s="399" t="s">
        <v>130</v>
      </c>
      <c r="F800" s="389">
        <f>'пр.6.1.ведом.22-23 (2)'!G416</f>
        <v>7015.6</v>
      </c>
      <c r="G800" s="389">
        <f>'пр.6.1.ведом.22-23 (2)'!H416</f>
        <v>7015.6</v>
      </c>
    </row>
    <row r="801" spans="1:7" ht="31.5" hidden="1" x14ac:dyDescent="0.25">
      <c r="A801" s="396" t="s">
        <v>131</v>
      </c>
      <c r="B801" s="392" t="s">
        <v>299</v>
      </c>
      <c r="C801" s="392" t="s">
        <v>150</v>
      </c>
      <c r="D801" s="392" t="s">
        <v>859</v>
      </c>
      <c r="E801" s="399" t="s">
        <v>132</v>
      </c>
      <c r="F801" s="389">
        <f>'[1]Пр.4 Рд,пр, ЦС,ВР 21'!F800</f>
        <v>0</v>
      </c>
      <c r="G801" s="389">
        <f>'[1]Пр.4 Рд,пр, ЦС,ВР 21'!G800</f>
        <v>0</v>
      </c>
    </row>
    <row r="802" spans="1:7" ht="47.25" hidden="1" x14ac:dyDescent="0.25">
      <c r="A802" s="396" t="s">
        <v>133</v>
      </c>
      <c r="B802" s="392" t="s">
        <v>299</v>
      </c>
      <c r="C802" s="392" t="s">
        <v>150</v>
      </c>
      <c r="D802" s="392" t="s">
        <v>859</v>
      </c>
      <c r="E802" s="399" t="s">
        <v>134</v>
      </c>
      <c r="F802" s="389">
        <f>'[1]Пр.4 Рд,пр, ЦС,ВР 21'!F801</f>
        <v>0</v>
      </c>
      <c r="G802" s="389">
        <f>'[1]Пр.4 Рд,пр, ЦС,ВР 21'!G801</f>
        <v>0</v>
      </c>
    </row>
    <row r="803" spans="1:7" ht="47.25" x14ac:dyDescent="0.25">
      <c r="A803" s="396" t="s">
        <v>838</v>
      </c>
      <c r="B803" s="392" t="s">
        <v>299</v>
      </c>
      <c r="C803" s="392" t="s">
        <v>150</v>
      </c>
      <c r="D803" s="392" t="s">
        <v>861</v>
      </c>
      <c r="E803" s="399"/>
      <c r="F803" s="389">
        <f>F804</f>
        <v>276</v>
      </c>
      <c r="G803" s="389">
        <f>G804</f>
        <v>276</v>
      </c>
    </row>
    <row r="804" spans="1:7" ht="94.5" x14ac:dyDescent="0.25">
      <c r="A804" s="396" t="s">
        <v>127</v>
      </c>
      <c r="B804" s="392" t="s">
        <v>299</v>
      </c>
      <c r="C804" s="392" t="s">
        <v>150</v>
      </c>
      <c r="D804" s="392" t="s">
        <v>861</v>
      </c>
      <c r="E804" s="399" t="s">
        <v>128</v>
      </c>
      <c r="F804" s="389">
        <f>F805</f>
        <v>276</v>
      </c>
      <c r="G804" s="389">
        <f>G805</f>
        <v>276</v>
      </c>
    </row>
    <row r="805" spans="1:7" ht="31.5" x14ac:dyDescent="0.25">
      <c r="A805" s="396" t="s">
        <v>129</v>
      </c>
      <c r="B805" s="392" t="s">
        <v>299</v>
      </c>
      <c r="C805" s="392" t="s">
        <v>150</v>
      </c>
      <c r="D805" s="392" t="s">
        <v>861</v>
      </c>
      <c r="E805" s="399" t="s">
        <v>130</v>
      </c>
      <c r="F805" s="389">
        <f>'пр.6.1.ведом.22-23 (2)'!G421</f>
        <v>276</v>
      </c>
      <c r="G805" s="389">
        <f>'пр.6.1.ведом.22-23 (2)'!H421</f>
        <v>276</v>
      </c>
    </row>
    <row r="806" spans="1:7" ht="15.75" x14ac:dyDescent="0.25">
      <c r="A806" s="394" t="s">
        <v>925</v>
      </c>
      <c r="B806" s="395" t="s">
        <v>299</v>
      </c>
      <c r="C806" s="395" t="s">
        <v>150</v>
      </c>
      <c r="D806" s="395" t="s">
        <v>865</v>
      </c>
      <c r="E806" s="399"/>
      <c r="F806" s="388">
        <f t="shared" ref="F806:G806" si="81">F807</f>
        <v>11014.8</v>
      </c>
      <c r="G806" s="388">
        <f t="shared" si="81"/>
        <v>11014.8</v>
      </c>
    </row>
    <row r="807" spans="1:7" ht="36.75" customHeight="1" x14ac:dyDescent="0.25">
      <c r="A807" s="394" t="s">
        <v>928</v>
      </c>
      <c r="B807" s="395" t="s">
        <v>299</v>
      </c>
      <c r="C807" s="395" t="s">
        <v>150</v>
      </c>
      <c r="D807" s="395" t="s">
        <v>913</v>
      </c>
      <c r="E807" s="399"/>
      <c r="F807" s="388">
        <f>F808+F815</f>
        <v>11014.8</v>
      </c>
      <c r="G807" s="388">
        <f>G808+G815</f>
        <v>11014.8</v>
      </c>
    </row>
    <row r="808" spans="1:7" ht="31.5" x14ac:dyDescent="0.25">
      <c r="A808" s="396" t="s">
        <v>902</v>
      </c>
      <c r="B808" s="392" t="s">
        <v>299</v>
      </c>
      <c r="C808" s="392" t="s">
        <v>150</v>
      </c>
      <c r="D808" s="392" t="s">
        <v>914</v>
      </c>
      <c r="E808" s="399"/>
      <c r="F808" s="389">
        <f>F809+F811+F813</f>
        <v>10804.8</v>
      </c>
      <c r="G808" s="389">
        <f>G809+G811+G813</f>
        <v>10804.8</v>
      </c>
    </row>
    <row r="809" spans="1:7" ht="94.5" x14ac:dyDescent="0.25">
      <c r="A809" s="396" t="s">
        <v>127</v>
      </c>
      <c r="B809" s="392" t="s">
        <v>299</v>
      </c>
      <c r="C809" s="392" t="s">
        <v>150</v>
      </c>
      <c r="D809" s="392" t="s">
        <v>914</v>
      </c>
      <c r="E809" s="399" t="s">
        <v>128</v>
      </c>
      <c r="F809" s="389">
        <f>F810</f>
        <v>8853.7999999999993</v>
      </c>
      <c r="G809" s="389">
        <f>G810</f>
        <v>8853.7999999999993</v>
      </c>
    </row>
    <row r="810" spans="1:7" ht="31.5" x14ac:dyDescent="0.25">
      <c r="A810" s="396" t="s">
        <v>342</v>
      </c>
      <c r="B810" s="392" t="s">
        <v>299</v>
      </c>
      <c r="C810" s="392" t="s">
        <v>150</v>
      </c>
      <c r="D810" s="392" t="s">
        <v>914</v>
      </c>
      <c r="E810" s="399" t="s">
        <v>209</v>
      </c>
      <c r="F810" s="389">
        <f>'пр.6.1.ведом.22-23 (2)'!G426</f>
        <v>8853.7999999999993</v>
      </c>
      <c r="G810" s="389">
        <f>'пр.6.1.ведом.22-23 (2)'!H426</f>
        <v>8853.7999999999993</v>
      </c>
    </row>
    <row r="811" spans="1:7" ht="31.5" x14ac:dyDescent="0.25">
      <c r="A811" s="396" t="s">
        <v>131</v>
      </c>
      <c r="B811" s="392" t="s">
        <v>299</v>
      </c>
      <c r="C811" s="392" t="s">
        <v>150</v>
      </c>
      <c r="D811" s="392" t="s">
        <v>914</v>
      </c>
      <c r="E811" s="399" t="s">
        <v>132</v>
      </c>
      <c r="F811" s="389">
        <f>F812</f>
        <v>1937</v>
      </c>
      <c r="G811" s="389">
        <f>G812</f>
        <v>1937</v>
      </c>
    </row>
    <row r="812" spans="1:7" ht="47.25" x14ac:dyDescent="0.25">
      <c r="A812" s="396" t="s">
        <v>133</v>
      </c>
      <c r="B812" s="392" t="s">
        <v>299</v>
      </c>
      <c r="C812" s="392" t="s">
        <v>150</v>
      </c>
      <c r="D812" s="392" t="s">
        <v>914</v>
      </c>
      <c r="E812" s="399" t="s">
        <v>134</v>
      </c>
      <c r="F812" s="389">
        <f>'пр.6.1.ведом.22-23 (2)'!G428</f>
        <v>1937</v>
      </c>
      <c r="G812" s="389">
        <f>'пр.6.1.ведом.22-23 (2)'!H428</f>
        <v>1937</v>
      </c>
    </row>
    <row r="813" spans="1:7" ht="15.75" x14ac:dyDescent="0.25">
      <c r="A813" s="396" t="s">
        <v>135</v>
      </c>
      <c r="B813" s="392" t="s">
        <v>299</v>
      </c>
      <c r="C813" s="392" t="s">
        <v>150</v>
      </c>
      <c r="D813" s="392" t="s">
        <v>914</v>
      </c>
      <c r="E813" s="399" t="s">
        <v>145</v>
      </c>
      <c r="F813" s="389">
        <f>F814</f>
        <v>14</v>
      </c>
      <c r="G813" s="389">
        <f>G814</f>
        <v>14</v>
      </c>
    </row>
    <row r="814" spans="1:7" ht="15.75" x14ac:dyDescent="0.25">
      <c r="A814" s="396" t="s">
        <v>568</v>
      </c>
      <c r="B814" s="392" t="s">
        <v>299</v>
      </c>
      <c r="C814" s="392" t="s">
        <v>150</v>
      </c>
      <c r="D814" s="392" t="s">
        <v>914</v>
      </c>
      <c r="E814" s="399" t="s">
        <v>138</v>
      </c>
      <c r="F814" s="389">
        <f>'пр.6.1.ведом.22-23 (2)'!G430</f>
        <v>14</v>
      </c>
      <c r="G814" s="389">
        <f>'пр.6.1.ведом.22-23 (2)'!H430</f>
        <v>14</v>
      </c>
    </row>
    <row r="815" spans="1:7" ht="47.25" x14ac:dyDescent="0.25">
      <c r="A815" s="396" t="s">
        <v>838</v>
      </c>
      <c r="B815" s="392" t="s">
        <v>299</v>
      </c>
      <c r="C815" s="392" t="s">
        <v>150</v>
      </c>
      <c r="D815" s="392" t="s">
        <v>915</v>
      </c>
      <c r="E815" s="399"/>
      <c r="F815" s="389">
        <f>F816</f>
        <v>210</v>
      </c>
      <c r="G815" s="389">
        <f>G816</f>
        <v>210</v>
      </c>
    </row>
    <row r="816" spans="1:7" ht="94.5" x14ac:dyDescent="0.25">
      <c r="A816" s="396" t="s">
        <v>127</v>
      </c>
      <c r="B816" s="392" t="s">
        <v>299</v>
      </c>
      <c r="C816" s="392" t="s">
        <v>150</v>
      </c>
      <c r="D816" s="392" t="s">
        <v>915</v>
      </c>
      <c r="E816" s="399" t="s">
        <v>128</v>
      </c>
      <c r="F816" s="389">
        <f>F817</f>
        <v>210</v>
      </c>
      <c r="G816" s="389">
        <f>G817</f>
        <v>210</v>
      </c>
    </row>
    <row r="817" spans="1:9" ht="31.5" x14ac:dyDescent="0.25">
      <c r="A817" s="396" t="s">
        <v>129</v>
      </c>
      <c r="B817" s="392" t="s">
        <v>299</v>
      </c>
      <c r="C817" s="392" t="s">
        <v>150</v>
      </c>
      <c r="D817" s="392" t="s">
        <v>915</v>
      </c>
      <c r="E817" s="399" t="s">
        <v>209</v>
      </c>
      <c r="F817" s="389">
        <f>'пр.6.1.ведом.22-23 (2)'!G433</f>
        <v>210</v>
      </c>
      <c r="G817" s="389">
        <f>'пр.6.1.ведом.22-23 (2)'!H433</f>
        <v>210</v>
      </c>
    </row>
    <row r="818" spans="1:9" ht="50.25" customHeight="1" x14ac:dyDescent="0.25">
      <c r="A818" s="394" t="s">
        <v>1346</v>
      </c>
      <c r="B818" s="395" t="s">
        <v>299</v>
      </c>
      <c r="C818" s="395" t="s">
        <v>150</v>
      </c>
      <c r="D818" s="395" t="s">
        <v>344</v>
      </c>
      <c r="E818" s="399"/>
      <c r="F818" s="388">
        <f>F819</f>
        <v>260</v>
      </c>
      <c r="G818" s="388">
        <f>G819</f>
        <v>285</v>
      </c>
    </row>
    <row r="819" spans="1:9" ht="54" customHeight="1" x14ac:dyDescent="0.25">
      <c r="A819" s="394" t="s">
        <v>1352</v>
      </c>
      <c r="B819" s="395" t="s">
        <v>299</v>
      </c>
      <c r="C819" s="395" t="s">
        <v>150</v>
      </c>
      <c r="D819" s="395" t="s">
        <v>362</v>
      </c>
      <c r="E819" s="395"/>
      <c r="F819" s="393">
        <f t="shared" ref="F819:G820" si="82">F820</f>
        <v>260</v>
      </c>
      <c r="G819" s="393">
        <f t="shared" si="82"/>
        <v>285</v>
      </c>
    </row>
    <row r="820" spans="1:9" ht="31.5" x14ac:dyDescent="0.25">
      <c r="A820" s="394" t="s">
        <v>996</v>
      </c>
      <c r="B820" s="395" t="s">
        <v>299</v>
      </c>
      <c r="C820" s="395" t="s">
        <v>150</v>
      </c>
      <c r="D820" s="395" t="s">
        <v>1219</v>
      </c>
      <c r="E820" s="395"/>
      <c r="F820" s="393">
        <f t="shared" si="82"/>
        <v>260</v>
      </c>
      <c r="G820" s="393">
        <f t="shared" si="82"/>
        <v>285</v>
      </c>
    </row>
    <row r="821" spans="1:9" ht="31.5" x14ac:dyDescent="0.25">
      <c r="A821" s="396" t="s">
        <v>995</v>
      </c>
      <c r="B821" s="392" t="s">
        <v>299</v>
      </c>
      <c r="C821" s="392" t="s">
        <v>150</v>
      </c>
      <c r="D821" s="392" t="s">
        <v>1220</v>
      </c>
      <c r="E821" s="392"/>
      <c r="F821" s="397">
        <f>F822</f>
        <v>260</v>
      </c>
      <c r="G821" s="397">
        <f>G822</f>
        <v>285</v>
      </c>
    </row>
    <row r="822" spans="1:9" ht="31.5" x14ac:dyDescent="0.25">
      <c r="A822" s="396" t="s">
        <v>131</v>
      </c>
      <c r="B822" s="392" t="s">
        <v>299</v>
      </c>
      <c r="C822" s="392" t="s">
        <v>150</v>
      </c>
      <c r="D822" s="392" t="s">
        <v>1220</v>
      </c>
      <c r="E822" s="392" t="s">
        <v>132</v>
      </c>
      <c r="F822" s="397">
        <f>F823</f>
        <v>260</v>
      </c>
      <c r="G822" s="397">
        <f>G823</f>
        <v>285</v>
      </c>
    </row>
    <row r="823" spans="1:9" ht="47.25" x14ac:dyDescent="0.25">
      <c r="A823" s="396" t="s">
        <v>133</v>
      </c>
      <c r="B823" s="392" t="s">
        <v>299</v>
      </c>
      <c r="C823" s="392" t="s">
        <v>150</v>
      </c>
      <c r="D823" s="392" t="s">
        <v>1220</v>
      </c>
      <c r="E823" s="392" t="s">
        <v>134</v>
      </c>
      <c r="F823" s="397">
        <f>'пр.6.1.ведом.22-23 (2)'!G439</f>
        <v>260</v>
      </c>
      <c r="G823" s="397">
        <f>'пр.6.1.ведом.22-23 (2)'!H439</f>
        <v>285</v>
      </c>
    </row>
    <row r="824" spans="1:9" ht="63" x14ac:dyDescent="0.25">
      <c r="A824" s="34" t="s">
        <v>1432</v>
      </c>
      <c r="B824" s="395" t="s">
        <v>299</v>
      </c>
      <c r="C824" s="395" t="s">
        <v>150</v>
      </c>
      <c r="D824" s="395" t="s">
        <v>324</v>
      </c>
      <c r="E824" s="395"/>
      <c r="F824" s="393">
        <f>F826</f>
        <v>0</v>
      </c>
      <c r="G824" s="393">
        <f>G825</f>
        <v>4</v>
      </c>
    </row>
    <row r="825" spans="1:9" ht="63" x14ac:dyDescent="0.25">
      <c r="A825" s="34" t="s">
        <v>1024</v>
      </c>
      <c r="B825" s="395" t="s">
        <v>299</v>
      </c>
      <c r="C825" s="395" t="s">
        <v>150</v>
      </c>
      <c r="D825" s="395" t="s">
        <v>933</v>
      </c>
      <c r="E825" s="395"/>
      <c r="F825" s="393">
        <f>F828</f>
        <v>0</v>
      </c>
      <c r="G825" s="393">
        <f>G826</f>
        <v>4</v>
      </c>
    </row>
    <row r="826" spans="1:9" ht="47.25" x14ac:dyDescent="0.25">
      <c r="A826" s="31" t="s">
        <v>1081</v>
      </c>
      <c r="B826" s="392" t="s">
        <v>299</v>
      </c>
      <c r="C826" s="392" t="s">
        <v>150</v>
      </c>
      <c r="D826" s="392" t="s">
        <v>1025</v>
      </c>
      <c r="E826" s="392"/>
      <c r="F826" s="397">
        <f>F827</f>
        <v>0</v>
      </c>
      <c r="G826" s="397">
        <f>G827</f>
        <v>4</v>
      </c>
    </row>
    <row r="827" spans="1:9" ht="31.5" x14ac:dyDescent="0.25">
      <c r="A827" s="396" t="s">
        <v>131</v>
      </c>
      <c r="B827" s="392" t="s">
        <v>299</v>
      </c>
      <c r="C827" s="392" t="s">
        <v>150</v>
      </c>
      <c r="D827" s="392" t="s">
        <v>1025</v>
      </c>
      <c r="E827" s="392" t="s">
        <v>132</v>
      </c>
      <c r="F827" s="397">
        <f>F828</f>
        <v>0</v>
      </c>
      <c r="G827" s="397">
        <f>G828</f>
        <v>4</v>
      </c>
    </row>
    <row r="828" spans="1:9" ht="47.25" x14ac:dyDescent="0.25">
      <c r="A828" s="396" t="s">
        <v>133</v>
      </c>
      <c r="B828" s="392" t="s">
        <v>299</v>
      </c>
      <c r="C828" s="392" t="s">
        <v>150</v>
      </c>
      <c r="D828" s="392" t="s">
        <v>1025</v>
      </c>
      <c r="E828" s="392" t="s">
        <v>134</v>
      </c>
      <c r="F828" s="397">
        <f>'пр.6.1.ведом.22-23 (2)'!G444</f>
        <v>0</v>
      </c>
      <c r="G828" s="397">
        <f>'пр.6.1.ведом.22-23 (2)'!H444</f>
        <v>4</v>
      </c>
    </row>
    <row r="829" spans="1:9" ht="15.75" x14ac:dyDescent="0.25">
      <c r="A829" s="394" t="s">
        <v>243</v>
      </c>
      <c r="B829" s="395" t="s">
        <v>244</v>
      </c>
      <c r="C829" s="395"/>
      <c r="D829" s="395"/>
      <c r="E829" s="192"/>
      <c r="F829" s="388">
        <f>F830+F836+F872+F866</f>
        <v>18033.41</v>
      </c>
      <c r="G829" s="388">
        <f>G830+G836+G872+G866</f>
        <v>26348.010000000002</v>
      </c>
      <c r="H829" s="387">
        <v>17738.8</v>
      </c>
      <c r="I829" s="22">
        <v>26058.9</v>
      </c>
    </row>
    <row r="830" spans="1:9" ht="15.75" x14ac:dyDescent="0.25">
      <c r="A830" s="394" t="s">
        <v>245</v>
      </c>
      <c r="B830" s="395" t="s">
        <v>244</v>
      </c>
      <c r="C830" s="395" t="s">
        <v>118</v>
      </c>
      <c r="D830" s="395"/>
      <c r="E830" s="395"/>
      <c r="F830" s="388">
        <f t="shared" ref="F830:G832" si="83">F831</f>
        <v>9815.2999999999993</v>
      </c>
      <c r="G830" s="388">
        <f t="shared" si="83"/>
        <v>9815.2999999999993</v>
      </c>
      <c r="H830" s="216">
        <f>H829-F829</f>
        <v>-294.61000000000058</v>
      </c>
      <c r="I830" s="216">
        <f>I829-G829</f>
        <v>-289.11000000000058</v>
      </c>
    </row>
    <row r="831" spans="1:9" ht="15.75" x14ac:dyDescent="0.25">
      <c r="A831" s="394" t="s">
        <v>141</v>
      </c>
      <c r="B831" s="395" t="s">
        <v>244</v>
      </c>
      <c r="C831" s="395" t="s">
        <v>118</v>
      </c>
      <c r="D831" s="395" t="s">
        <v>865</v>
      </c>
      <c r="E831" s="395"/>
      <c r="F831" s="388">
        <f t="shared" si="83"/>
        <v>9815.2999999999993</v>
      </c>
      <c r="G831" s="388">
        <f t="shared" si="83"/>
        <v>9815.2999999999993</v>
      </c>
    </row>
    <row r="832" spans="1:9" ht="31.5" x14ac:dyDescent="0.25">
      <c r="A832" s="394" t="s">
        <v>869</v>
      </c>
      <c r="B832" s="395" t="s">
        <v>244</v>
      </c>
      <c r="C832" s="395" t="s">
        <v>118</v>
      </c>
      <c r="D832" s="395" t="s">
        <v>864</v>
      </c>
      <c r="E832" s="395"/>
      <c r="F832" s="388">
        <f t="shared" si="83"/>
        <v>9815.2999999999993</v>
      </c>
      <c r="G832" s="388">
        <f t="shared" si="83"/>
        <v>9815.2999999999993</v>
      </c>
    </row>
    <row r="833" spans="1:7" ht="15.75" x14ac:dyDescent="0.25">
      <c r="A833" s="396" t="s">
        <v>246</v>
      </c>
      <c r="B833" s="392" t="s">
        <v>244</v>
      </c>
      <c r="C833" s="392" t="s">
        <v>118</v>
      </c>
      <c r="D833" s="392" t="s">
        <v>880</v>
      </c>
      <c r="E833" s="392"/>
      <c r="F833" s="389">
        <f>F834</f>
        <v>9815.2999999999993</v>
      </c>
      <c r="G833" s="389">
        <f>G834</f>
        <v>9815.2999999999993</v>
      </c>
    </row>
    <row r="834" spans="1:7" ht="31.5" x14ac:dyDescent="0.25">
      <c r="A834" s="396" t="s">
        <v>248</v>
      </c>
      <c r="B834" s="392" t="s">
        <v>244</v>
      </c>
      <c r="C834" s="392" t="s">
        <v>118</v>
      </c>
      <c r="D834" s="392" t="s">
        <v>880</v>
      </c>
      <c r="E834" s="392" t="s">
        <v>249</v>
      </c>
      <c r="F834" s="389">
        <f>F835</f>
        <v>9815.2999999999993</v>
      </c>
      <c r="G834" s="389">
        <f>G835</f>
        <v>9815.2999999999993</v>
      </c>
    </row>
    <row r="835" spans="1:7" ht="31.5" x14ac:dyDescent="0.25">
      <c r="A835" s="396" t="s">
        <v>250</v>
      </c>
      <c r="B835" s="392" t="s">
        <v>244</v>
      </c>
      <c r="C835" s="392" t="s">
        <v>118</v>
      </c>
      <c r="D835" s="392" t="s">
        <v>880</v>
      </c>
      <c r="E835" s="392" t="s">
        <v>251</v>
      </c>
      <c r="F835" s="389">
        <f>'пр.6.1.ведом.22-23 (2)'!G224</f>
        <v>9815.2999999999993</v>
      </c>
      <c r="G835" s="389">
        <f>'пр.6.1.ведом.22-23 (2)'!H224</f>
        <v>9815.2999999999993</v>
      </c>
    </row>
    <row r="836" spans="1:7" ht="15.75" x14ac:dyDescent="0.25">
      <c r="A836" s="394" t="s">
        <v>252</v>
      </c>
      <c r="B836" s="395" t="s">
        <v>244</v>
      </c>
      <c r="C836" s="395" t="s">
        <v>215</v>
      </c>
      <c r="D836" s="395"/>
      <c r="E836" s="395"/>
      <c r="F836" s="388">
        <f>F837+F858</f>
        <v>2011.6100000000001</v>
      </c>
      <c r="G836" s="388">
        <f>G837+G858</f>
        <v>2036.1100000000001</v>
      </c>
    </row>
    <row r="837" spans="1:7" ht="50.25" customHeight="1" x14ac:dyDescent="0.25">
      <c r="A837" s="394" t="s">
        <v>1377</v>
      </c>
      <c r="B837" s="395" t="s">
        <v>244</v>
      </c>
      <c r="C837" s="395" t="s">
        <v>215</v>
      </c>
      <c r="D837" s="395" t="s">
        <v>344</v>
      </c>
      <c r="E837" s="395"/>
      <c r="F837" s="388">
        <f>F838+F843</f>
        <v>2001.6100000000001</v>
      </c>
      <c r="G837" s="388">
        <f>G838+G843</f>
        <v>2026.1100000000001</v>
      </c>
    </row>
    <row r="838" spans="1:7" ht="31.5" x14ac:dyDescent="0.25">
      <c r="A838" s="394" t="s">
        <v>352</v>
      </c>
      <c r="B838" s="395" t="s">
        <v>244</v>
      </c>
      <c r="C838" s="395" t="s">
        <v>215</v>
      </c>
      <c r="D838" s="395" t="s">
        <v>353</v>
      </c>
      <c r="E838" s="395"/>
      <c r="F838" s="393">
        <f t="shared" ref="F838:G841" si="84">F839</f>
        <v>294.61</v>
      </c>
      <c r="G838" s="393">
        <f t="shared" si="84"/>
        <v>289.11</v>
      </c>
    </row>
    <row r="839" spans="1:7" ht="31.5" x14ac:dyDescent="0.25">
      <c r="A839" s="394" t="s">
        <v>904</v>
      </c>
      <c r="B839" s="395" t="s">
        <v>244</v>
      </c>
      <c r="C839" s="395" t="s">
        <v>215</v>
      </c>
      <c r="D839" s="395" t="s">
        <v>903</v>
      </c>
      <c r="E839" s="395"/>
      <c r="F839" s="393">
        <f t="shared" si="84"/>
        <v>294.61</v>
      </c>
      <c r="G839" s="393">
        <f t="shared" si="84"/>
        <v>289.11</v>
      </c>
    </row>
    <row r="840" spans="1:7" ht="31.5" x14ac:dyDescent="0.25">
      <c r="A840" s="396" t="s">
        <v>823</v>
      </c>
      <c r="B840" s="392" t="s">
        <v>244</v>
      </c>
      <c r="C840" s="392" t="s">
        <v>215</v>
      </c>
      <c r="D840" s="392" t="s">
        <v>905</v>
      </c>
      <c r="E840" s="392"/>
      <c r="F840" s="397">
        <f t="shared" si="84"/>
        <v>294.61</v>
      </c>
      <c r="G840" s="397">
        <f t="shared" si="84"/>
        <v>289.11</v>
      </c>
    </row>
    <row r="841" spans="1:7" ht="31.5" x14ac:dyDescent="0.25">
      <c r="A841" s="396" t="s">
        <v>248</v>
      </c>
      <c r="B841" s="392" t="s">
        <v>244</v>
      </c>
      <c r="C841" s="392" t="s">
        <v>215</v>
      </c>
      <c r="D841" s="392" t="s">
        <v>905</v>
      </c>
      <c r="E841" s="392" t="s">
        <v>249</v>
      </c>
      <c r="F841" s="397">
        <f>F842</f>
        <v>294.61</v>
      </c>
      <c r="G841" s="397">
        <f t="shared" si="84"/>
        <v>289.11</v>
      </c>
    </row>
    <row r="842" spans="1:7" ht="31.5" x14ac:dyDescent="0.25">
      <c r="A842" s="396" t="s">
        <v>250</v>
      </c>
      <c r="B842" s="392" t="s">
        <v>244</v>
      </c>
      <c r="C842" s="392" t="s">
        <v>215</v>
      </c>
      <c r="D842" s="392" t="s">
        <v>905</v>
      </c>
      <c r="E842" s="392" t="s">
        <v>251</v>
      </c>
      <c r="F842" s="397">
        <f>'пр.6.1.ведом.22-23 (2)'!G452</f>
        <v>294.61</v>
      </c>
      <c r="G842" s="397">
        <f>'пр.6.1.ведом.22-23 (2)'!H452</f>
        <v>289.11</v>
      </c>
    </row>
    <row r="843" spans="1:7" ht="47.25" x14ac:dyDescent="0.25">
      <c r="A843" s="394" t="s">
        <v>355</v>
      </c>
      <c r="B843" s="391">
        <v>10</v>
      </c>
      <c r="C843" s="395" t="s">
        <v>215</v>
      </c>
      <c r="D843" s="395" t="s">
        <v>362</v>
      </c>
      <c r="E843" s="395"/>
      <c r="F843" s="393">
        <f>F845+F848+F854</f>
        <v>1707</v>
      </c>
      <c r="G843" s="393">
        <f>G845+G848+G854</f>
        <v>1737</v>
      </c>
    </row>
    <row r="844" spans="1:7" ht="31.5" x14ac:dyDescent="0.25">
      <c r="A844" s="394" t="s">
        <v>1038</v>
      </c>
      <c r="B844" s="391">
        <v>10</v>
      </c>
      <c r="C844" s="395" t="s">
        <v>215</v>
      </c>
      <c r="D844" s="395" t="s">
        <v>912</v>
      </c>
      <c r="E844" s="395"/>
      <c r="F844" s="393">
        <f t="shared" ref="F844:G846" si="85">F845</f>
        <v>630</v>
      </c>
      <c r="G844" s="393">
        <f t="shared" si="85"/>
        <v>630</v>
      </c>
    </row>
    <row r="845" spans="1:7" ht="47.25" x14ac:dyDescent="0.25">
      <c r="A845" s="98" t="s">
        <v>1039</v>
      </c>
      <c r="B845" s="392" t="s">
        <v>244</v>
      </c>
      <c r="C845" s="392" t="s">
        <v>215</v>
      </c>
      <c r="D845" s="392" t="s">
        <v>1222</v>
      </c>
      <c r="E845" s="392"/>
      <c r="F845" s="397">
        <f t="shared" si="85"/>
        <v>630</v>
      </c>
      <c r="G845" s="397">
        <f t="shared" si="85"/>
        <v>630</v>
      </c>
    </row>
    <row r="846" spans="1:7" ht="31.5" x14ac:dyDescent="0.25">
      <c r="A846" s="396" t="s">
        <v>248</v>
      </c>
      <c r="B846" s="392" t="s">
        <v>244</v>
      </c>
      <c r="C846" s="392" t="s">
        <v>215</v>
      </c>
      <c r="D846" s="392" t="s">
        <v>1222</v>
      </c>
      <c r="E846" s="392" t="s">
        <v>249</v>
      </c>
      <c r="F846" s="397">
        <f t="shared" si="85"/>
        <v>630</v>
      </c>
      <c r="G846" s="397">
        <f t="shared" si="85"/>
        <v>630</v>
      </c>
    </row>
    <row r="847" spans="1:7" ht="31.5" x14ac:dyDescent="0.25">
      <c r="A847" s="396" t="s">
        <v>348</v>
      </c>
      <c r="B847" s="392" t="s">
        <v>244</v>
      </c>
      <c r="C847" s="392" t="s">
        <v>215</v>
      </c>
      <c r="D847" s="392" t="s">
        <v>1222</v>
      </c>
      <c r="E847" s="392" t="s">
        <v>349</v>
      </c>
      <c r="F847" s="397">
        <f>'пр.6.1.ведом.22-23 (2)'!G457</f>
        <v>630</v>
      </c>
      <c r="G847" s="397">
        <f>'пр.6.1.ведом.22-23 (2)'!H457</f>
        <v>630</v>
      </c>
    </row>
    <row r="848" spans="1:7" ht="31.5" x14ac:dyDescent="0.25">
      <c r="A848" s="394" t="s">
        <v>1226</v>
      </c>
      <c r="B848" s="391">
        <v>10</v>
      </c>
      <c r="C848" s="395" t="s">
        <v>215</v>
      </c>
      <c r="D848" s="395" t="s">
        <v>1224</v>
      </c>
      <c r="E848" s="395"/>
      <c r="F848" s="393">
        <f>F849+F852</f>
        <v>657</v>
      </c>
      <c r="G848" s="393">
        <f>G849+G852</f>
        <v>657</v>
      </c>
    </row>
    <row r="849" spans="1:7" ht="31.5" x14ac:dyDescent="0.25">
      <c r="A849" s="396" t="s">
        <v>1223</v>
      </c>
      <c r="B849" s="392" t="s">
        <v>244</v>
      </c>
      <c r="C849" s="392" t="s">
        <v>215</v>
      </c>
      <c r="D849" s="392" t="s">
        <v>1225</v>
      </c>
      <c r="E849" s="392"/>
      <c r="F849" s="397">
        <f>F850</f>
        <v>400</v>
      </c>
      <c r="G849" s="397">
        <f>G850</f>
        <v>400</v>
      </c>
    </row>
    <row r="850" spans="1:7" ht="31.5" x14ac:dyDescent="0.25">
      <c r="A850" s="396" t="s">
        <v>131</v>
      </c>
      <c r="B850" s="392" t="s">
        <v>244</v>
      </c>
      <c r="C850" s="392" t="s">
        <v>215</v>
      </c>
      <c r="D850" s="392" t="s">
        <v>1225</v>
      </c>
      <c r="E850" s="392" t="s">
        <v>132</v>
      </c>
      <c r="F850" s="397">
        <f>F851</f>
        <v>400</v>
      </c>
      <c r="G850" s="397">
        <f>G851</f>
        <v>400</v>
      </c>
    </row>
    <row r="851" spans="1:7" ht="47.25" x14ac:dyDescent="0.25">
      <c r="A851" s="396" t="s">
        <v>133</v>
      </c>
      <c r="B851" s="392" t="s">
        <v>244</v>
      </c>
      <c r="C851" s="392" t="s">
        <v>215</v>
      </c>
      <c r="D851" s="392" t="s">
        <v>1225</v>
      </c>
      <c r="E851" s="392" t="s">
        <v>134</v>
      </c>
      <c r="F851" s="397">
        <f>'пр.6.1.ведом.22-23 (2)'!G461</f>
        <v>400</v>
      </c>
      <c r="G851" s="397">
        <f>'пр.6.1.ведом.22-23 (2)'!H461</f>
        <v>400</v>
      </c>
    </row>
    <row r="852" spans="1:7" ht="31.5" x14ac:dyDescent="0.25">
      <c r="A852" s="396" t="s">
        <v>248</v>
      </c>
      <c r="B852" s="392" t="s">
        <v>244</v>
      </c>
      <c r="C852" s="392" t="s">
        <v>215</v>
      </c>
      <c r="D852" s="392" t="s">
        <v>1225</v>
      </c>
      <c r="E852" s="392" t="s">
        <v>249</v>
      </c>
      <c r="F852" s="397">
        <f>F853</f>
        <v>257</v>
      </c>
      <c r="G852" s="397">
        <f>G853</f>
        <v>257</v>
      </c>
    </row>
    <row r="853" spans="1:7" ht="31.5" x14ac:dyDescent="0.25">
      <c r="A853" s="396" t="s">
        <v>348</v>
      </c>
      <c r="B853" s="392" t="s">
        <v>244</v>
      </c>
      <c r="C853" s="392" t="s">
        <v>215</v>
      </c>
      <c r="D853" s="392" t="s">
        <v>1225</v>
      </c>
      <c r="E853" s="392" t="s">
        <v>349</v>
      </c>
      <c r="F853" s="397">
        <f>'пр.6.1.ведом.22-23 (2)'!G463</f>
        <v>257</v>
      </c>
      <c r="G853" s="397">
        <f>'пр.6.1.ведом.22-23 (2)'!H463</f>
        <v>257</v>
      </c>
    </row>
    <row r="854" spans="1:7" ht="31.5" x14ac:dyDescent="0.25">
      <c r="A854" s="394" t="s">
        <v>996</v>
      </c>
      <c r="B854" s="391">
        <v>10</v>
      </c>
      <c r="C854" s="395" t="s">
        <v>215</v>
      </c>
      <c r="D854" s="395" t="s">
        <v>1219</v>
      </c>
      <c r="E854" s="395"/>
      <c r="F854" s="393">
        <f>F855</f>
        <v>420</v>
      </c>
      <c r="G854" s="393">
        <f t="shared" ref="G854:G856" si="86">G855</f>
        <v>450</v>
      </c>
    </row>
    <row r="855" spans="1:7" ht="22.7" customHeight="1" x14ac:dyDescent="0.25">
      <c r="A855" s="396" t="s">
        <v>1036</v>
      </c>
      <c r="B855" s="392" t="s">
        <v>244</v>
      </c>
      <c r="C855" s="392" t="s">
        <v>215</v>
      </c>
      <c r="D855" s="392" t="s">
        <v>1221</v>
      </c>
      <c r="E855" s="392"/>
      <c r="F855" s="397">
        <f>F856</f>
        <v>420</v>
      </c>
      <c r="G855" s="397">
        <f t="shared" si="86"/>
        <v>450</v>
      </c>
    </row>
    <row r="856" spans="1:7" ht="31.5" x14ac:dyDescent="0.25">
      <c r="A856" s="396" t="s">
        <v>248</v>
      </c>
      <c r="B856" s="392" t="s">
        <v>244</v>
      </c>
      <c r="C856" s="392" t="s">
        <v>215</v>
      </c>
      <c r="D856" s="392" t="s">
        <v>1221</v>
      </c>
      <c r="E856" s="392" t="s">
        <v>249</v>
      </c>
      <c r="F856" s="397">
        <f>F857</f>
        <v>420</v>
      </c>
      <c r="G856" s="397">
        <f t="shared" si="86"/>
        <v>450</v>
      </c>
    </row>
    <row r="857" spans="1:7" ht="31.5" x14ac:dyDescent="0.25">
      <c r="A857" s="396" t="s">
        <v>348</v>
      </c>
      <c r="B857" s="392" t="s">
        <v>244</v>
      </c>
      <c r="C857" s="392" t="s">
        <v>215</v>
      </c>
      <c r="D857" s="392" t="s">
        <v>1221</v>
      </c>
      <c r="E857" s="392" t="s">
        <v>349</v>
      </c>
      <c r="F857" s="397">
        <f>'пр.6.1.ведом.22-23 (2)'!G467</f>
        <v>420</v>
      </c>
      <c r="G857" s="397">
        <f>'пр.6.1.ведом.22-23 (2)'!H467</f>
        <v>450</v>
      </c>
    </row>
    <row r="858" spans="1:7" ht="63" x14ac:dyDescent="0.25">
      <c r="A858" s="394" t="s">
        <v>1345</v>
      </c>
      <c r="B858" s="395" t="s">
        <v>244</v>
      </c>
      <c r="C858" s="395" t="s">
        <v>215</v>
      </c>
      <c r="D858" s="395" t="s">
        <v>254</v>
      </c>
      <c r="E858" s="395"/>
      <c r="F858" s="388">
        <f t="shared" ref="F858:G858" si="87">F859</f>
        <v>10</v>
      </c>
      <c r="G858" s="388">
        <f t="shared" si="87"/>
        <v>10</v>
      </c>
    </row>
    <row r="859" spans="1:7" ht="53.45" customHeight="1" x14ac:dyDescent="0.25">
      <c r="A859" s="394" t="s">
        <v>883</v>
      </c>
      <c r="B859" s="395" t="s">
        <v>244</v>
      </c>
      <c r="C859" s="395" t="s">
        <v>215</v>
      </c>
      <c r="D859" s="395" t="s">
        <v>881</v>
      </c>
      <c r="E859" s="395"/>
      <c r="F859" s="388">
        <f>F860+F863</f>
        <v>10</v>
      </c>
      <c r="G859" s="388">
        <f>G860+G863</f>
        <v>10</v>
      </c>
    </row>
    <row r="860" spans="1:7" ht="31.5" x14ac:dyDescent="0.25">
      <c r="A860" s="396" t="s">
        <v>882</v>
      </c>
      <c r="B860" s="392" t="s">
        <v>244</v>
      </c>
      <c r="C860" s="392" t="s">
        <v>215</v>
      </c>
      <c r="D860" s="392" t="s">
        <v>1186</v>
      </c>
      <c r="E860" s="392"/>
      <c r="F860" s="389">
        <f>F861</f>
        <v>10</v>
      </c>
      <c r="G860" s="389">
        <f>G861</f>
        <v>10</v>
      </c>
    </row>
    <row r="861" spans="1:7" ht="31.5" x14ac:dyDescent="0.25">
      <c r="A861" s="396" t="s">
        <v>248</v>
      </c>
      <c r="B861" s="392" t="s">
        <v>244</v>
      </c>
      <c r="C861" s="392" t="s">
        <v>215</v>
      </c>
      <c r="D861" s="392" t="s">
        <v>1186</v>
      </c>
      <c r="E861" s="392" t="s">
        <v>249</v>
      </c>
      <c r="F861" s="389">
        <f>F862</f>
        <v>10</v>
      </c>
      <c r="G861" s="389">
        <f>G862</f>
        <v>10</v>
      </c>
    </row>
    <row r="862" spans="1:7" ht="31.5" x14ac:dyDescent="0.25">
      <c r="A862" s="396" t="s">
        <v>250</v>
      </c>
      <c r="B862" s="392" t="s">
        <v>244</v>
      </c>
      <c r="C862" s="392" t="s">
        <v>215</v>
      </c>
      <c r="D862" s="392" t="s">
        <v>1186</v>
      </c>
      <c r="E862" s="392" t="s">
        <v>251</v>
      </c>
      <c r="F862" s="389">
        <f>'пр.6.1.ведом.22-23 (2)'!G230</f>
        <v>10</v>
      </c>
      <c r="G862" s="389">
        <f>'пр.6.1.ведом.22-23 (2)'!H230</f>
        <v>10</v>
      </c>
    </row>
    <row r="863" spans="1:7" ht="63" hidden="1" x14ac:dyDescent="0.25">
      <c r="A863" s="396" t="s">
        <v>1174</v>
      </c>
      <c r="B863" s="392" t="s">
        <v>244</v>
      </c>
      <c r="C863" s="392" t="s">
        <v>215</v>
      </c>
      <c r="D863" s="392" t="s">
        <v>1173</v>
      </c>
      <c r="E863" s="392"/>
      <c r="F863" s="397">
        <f>F864</f>
        <v>0</v>
      </c>
      <c r="G863" s="397">
        <f>G864</f>
        <v>0</v>
      </c>
    </row>
    <row r="864" spans="1:7" ht="31.5" hidden="1" x14ac:dyDescent="0.25">
      <c r="A864" s="396" t="s">
        <v>248</v>
      </c>
      <c r="B864" s="392" t="s">
        <v>244</v>
      </c>
      <c r="C864" s="392" t="s">
        <v>215</v>
      </c>
      <c r="D864" s="392" t="s">
        <v>1173</v>
      </c>
      <c r="E864" s="392" t="s">
        <v>249</v>
      </c>
      <c r="F864" s="397">
        <f>F865</f>
        <v>0</v>
      </c>
      <c r="G864" s="397">
        <f>G865</f>
        <v>0</v>
      </c>
    </row>
    <row r="865" spans="1:7" ht="31.5" hidden="1" x14ac:dyDescent="0.25">
      <c r="A865" s="396" t="s">
        <v>250</v>
      </c>
      <c r="B865" s="392" t="s">
        <v>244</v>
      </c>
      <c r="C865" s="392" t="s">
        <v>215</v>
      </c>
      <c r="D865" s="392" t="s">
        <v>1173</v>
      </c>
      <c r="E865" s="392" t="s">
        <v>251</v>
      </c>
      <c r="F865" s="397">
        <f>'пр.6.1.ведом.22-23 (2)'!G233</f>
        <v>0</v>
      </c>
      <c r="G865" s="397">
        <f>'пр.6.1.ведом.22-23 (2)'!H233</f>
        <v>0</v>
      </c>
    </row>
    <row r="866" spans="1:7" ht="15.75" x14ac:dyDescent="0.25">
      <c r="A866" s="394" t="s">
        <v>243</v>
      </c>
      <c r="B866" s="395" t="s">
        <v>244</v>
      </c>
      <c r="C866" s="392"/>
      <c r="D866" s="392"/>
      <c r="E866" s="392"/>
      <c r="F866" s="393">
        <f t="shared" ref="F866:G870" si="88">F867</f>
        <v>2469.1</v>
      </c>
      <c r="G866" s="393">
        <f t="shared" si="88"/>
        <v>10803.2</v>
      </c>
    </row>
    <row r="867" spans="1:7" ht="15.75" x14ac:dyDescent="0.25">
      <c r="A867" s="394" t="s">
        <v>400</v>
      </c>
      <c r="B867" s="395" t="s">
        <v>244</v>
      </c>
      <c r="C867" s="395" t="s">
        <v>150</v>
      </c>
      <c r="D867" s="392"/>
      <c r="E867" s="392"/>
      <c r="F867" s="393">
        <f t="shared" si="88"/>
        <v>2469.1</v>
      </c>
      <c r="G867" s="393">
        <f t="shared" si="88"/>
        <v>10803.2</v>
      </c>
    </row>
    <row r="868" spans="1:7" ht="47.25" x14ac:dyDescent="0.25">
      <c r="A868" s="394" t="s">
        <v>884</v>
      </c>
      <c r="B868" s="395" t="s">
        <v>244</v>
      </c>
      <c r="C868" s="395" t="s">
        <v>150</v>
      </c>
      <c r="D868" s="395" t="s">
        <v>862</v>
      </c>
      <c r="E868" s="392"/>
      <c r="F868" s="393">
        <f t="shared" si="88"/>
        <v>2469.1</v>
      </c>
      <c r="G868" s="393">
        <f t="shared" si="88"/>
        <v>10803.2</v>
      </c>
    </row>
    <row r="869" spans="1:7" ht="47.25" x14ac:dyDescent="0.25">
      <c r="A869" s="396" t="s">
        <v>1169</v>
      </c>
      <c r="B869" s="392" t="s">
        <v>244</v>
      </c>
      <c r="C869" s="392" t="s">
        <v>150</v>
      </c>
      <c r="D869" s="392" t="s">
        <v>1168</v>
      </c>
      <c r="E869" s="392"/>
      <c r="F869" s="397">
        <f t="shared" si="88"/>
        <v>2469.1</v>
      </c>
      <c r="G869" s="397">
        <f t="shared" si="88"/>
        <v>10803.2</v>
      </c>
    </row>
    <row r="870" spans="1:7" ht="31.5" x14ac:dyDescent="0.25">
      <c r="A870" s="396" t="s">
        <v>131</v>
      </c>
      <c r="B870" s="392" t="s">
        <v>244</v>
      </c>
      <c r="C870" s="392" t="s">
        <v>150</v>
      </c>
      <c r="D870" s="392" t="s">
        <v>1168</v>
      </c>
      <c r="E870" s="392" t="s">
        <v>132</v>
      </c>
      <c r="F870" s="397">
        <f t="shared" si="88"/>
        <v>2469.1</v>
      </c>
      <c r="G870" s="397">
        <f t="shared" si="88"/>
        <v>10803.2</v>
      </c>
    </row>
    <row r="871" spans="1:7" ht="47.25" x14ac:dyDescent="0.25">
      <c r="A871" s="396" t="s">
        <v>133</v>
      </c>
      <c r="B871" s="392" t="s">
        <v>244</v>
      </c>
      <c r="C871" s="392" t="s">
        <v>150</v>
      </c>
      <c r="D871" s="392" t="s">
        <v>1168</v>
      </c>
      <c r="E871" s="392" t="s">
        <v>134</v>
      </c>
      <c r="F871" s="397">
        <f>'пр.6.1.ведом.22-23 (2)'!G536</f>
        <v>2469.1</v>
      </c>
      <c r="G871" s="397">
        <f>'пр.6.1.ведом.22-23 (2)'!H536</f>
        <v>10803.2</v>
      </c>
    </row>
    <row r="872" spans="1:7" ht="31.5" x14ac:dyDescent="0.25">
      <c r="A872" s="394" t="s">
        <v>258</v>
      </c>
      <c r="B872" s="395" t="s">
        <v>244</v>
      </c>
      <c r="C872" s="395" t="s">
        <v>120</v>
      </c>
      <c r="D872" s="395"/>
      <c r="E872" s="395"/>
      <c r="F872" s="388">
        <f>F873+F880</f>
        <v>3737.4</v>
      </c>
      <c r="G872" s="388">
        <f>G873+G880</f>
        <v>3693.4</v>
      </c>
    </row>
    <row r="873" spans="1:7" ht="31.5" x14ac:dyDescent="0.25">
      <c r="A873" s="394" t="s">
        <v>916</v>
      </c>
      <c r="B873" s="395" t="s">
        <v>244</v>
      </c>
      <c r="C873" s="395" t="s">
        <v>120</v>
      </c>
      <c r="D873" s="395" t="s">
        <v>857</v>
      </c>
      <c r="E873" s="395"/>
      <c r="F873" s="388">
        <f>F874</f>
        <v>3650.4</v>
      </c>
      <c r="G873" s="388">
        <f>G874</f>
        <v>3606.4</v>
      </c>
    </row>
    <row r="874" spans="1:7" ht="47.25" x14ac:dyDescent="0.25">
      <c r="A874" s="394" t="s">
        <v>884</v>
      </c>
      <c r="B874" s="395" t="s">
        <v>244</v>
      </c>
      <c r="C874" s="395" t="s">
        <v>120</v>
      </c>
      <c r="D874" s="395" t="s">
        <v>862</v>
      </c>
      <c r="E874" s="395"/>
      <c r="F874" s="388">
        <f>F875</f>
        <v>3650.4</v>
      </c>
      <c r="G874" s="388">
        <f>G875</f>
        <v>3606.4</v>
      </c>
    </row>
    <row r="875" spans="1:7" ht="47.25" x14ac:dyDescent="0.25">
      <c r="A875" s="31" t="s">
        <v>259</v>
      </c>
      <c r="B875" s="392" t="s">
        <v>244</v>
      </c>
      <c r="C875" s="392" t="s">
        <v>120</v>
      </c>
      <c r="D875" s="392" t="s">
        <v>924</v>
      </c>
      <c r="E875" s="392"/>
      <c r="F875" s="389">
        <f>F876+F878</f>
        <v>3650.4</v>
      </c>
      <c r="G875" s="389">
        <f>G876+G878</f>
        <v>3606.4</v>
      </c>
    </row>
    <row r="876" spans="1:7" ht="94.5" x14ac:dyDescent="0.25">
      <c r="A876" s="396" t="s">
        <v>127</v>
      </c>
      <c r="B876" s="392" t="s">
        <v>244</v>
      </c>
      <c r="C876" s="392" t="s">
        <v>120</v>
      </c>
      <c r="D876" s="392" t="s">
        <v>924</v>
      </c>
      <c r="E876" s="392" t="s">
        <v>128</v>
      </c>
      <c r="F876" s="389">
        <f>F877</f>
        <v>3249.8</v>
      </c>
      <c r="G876" s="389">
        <f>G877</f>
        <v>3205.8</v>
      </c>
    </row>
    <row r="877" spans="1:7" ht="31.5" x14ac:dyDescent="0.25">
      <c r="A877" s="396" t="s">
        <v>129</v>
      </c>
      <c r="B877" s="392" t="s">
        <v>244</v>
      </c>
      <c r="C877" s="392" t="s">
        <v>120</v>
      </c>
      <c r="D877" s="392" t="s">
        <v>924</v>
      </c>
      <c r="E877" s="392" t="s">
        <v>130</v>
      </c>
      <c r="F877" s="389">
        <f>'пр.6.1.ведом.22-23 (2)'!G239</f>
        <v>3249.8</v>
      </c>
      <c r="G877" s="389">
        <f>'пр.6.1.ведом.22-23 (2)'!H239</f>
        <v>3205.8</v>
      </c>
    </row>
    <row r="878" spans="1:7" ht="31.5" x14ac:dyDescent="0.25">
      <c r="A878" s="396" t="s">
        <v>131</v>
      </c>
      <c r="B878" s="392" t="s">
        <v>244</v>
      </c>
      <c r="C878" s="392" t="s">
        <v>120</v>
      </c>
      <c r="D878" s="392" t="s">
        <v>924</v>
      </c>
      <c r="E878" s="392" t="s">
        <v>132</v>
      </c>
      <c r="F878" s="389">
        <f>F879</f>
        <v>400.6</v>
      </c>
      <c r="G878" s="389">
        <f>G879</f>
        <v>400.6</v>
      </c>
    </row>
    <row r="879" spans="1:7" ht="47.25" x14ac:dyDescent="0.25">
      <c r="A879" s="396" t="s">
        <v>133</v>
      </c>
      <c r="B879" s="392" t="s">
        <v>244</v>
      </c>
      <c r="C879" s="392" t="s">
        <v>120</v>
      </c>
      <c r="D879" s="392" t="s">
        <v>924</v>
      </c>
      <c r="E879" s="392" t="s">
        <v>134</v>
      </c>
      <c r="F879" s="389">
        <f>'пр.6.1.ведом.22-23 (2)'!G241</f>
        <v>400.6</v>
      </c>
      <c r="G879" s="389">
        <f>'пр.6.1.ведом.22-23 (2)'!H241</f>
        <v>400.6</v>
      </c>
    </row>
    <row r="880" spans="1:7" ht="15.75" x14ac:dyDescent="0.25">
      <c r="A880" s="394" t="s">
        <v>141</v>
      </c>
      <c r="B880" s="395" t="s">
        <v>244</v>
      </c>
      <c r="C880" s="395" t="s">
        <v>120</v>
      </c>
      <c r="D880" s="395" t="s">
        <v>865</v>
      </c>
      <c r="E880" s="395"/>
      <c r="F880" s="388">
        <f t="shared" ref="F880:G883" si="89">F881</f>
        <v>87</v>
      </c>
      <c r="G880" s="388">
        <f t="shared" si="89"/>
        <v>87</v>
      </c>
    </row>
    <row r="881" spans="1:7" ht="31.5" x14ac:dyDescent="0.25">
      <c r="A881" s="394" t="s">
        <v>869</v>
      </c>
      <c r="B881" s="395" t="s">
        <v>244</v>
      </c>
      <c r="C881" s="395" t="s">
        <v>120</v>
      </c>
      <c r="D881" s="395" t="s">
        <v>864</v>
      </c>
      <c r="E881" s="395"/>
      <c r="F881" s="388">
        <f t="shared" si="89"/>
        <v>87</v>
      </c>
      <c r="G881" s="388">
        <f t="shared" si="89"/>
        <v>87</v>
      </c>
    </row>
    <row r="882" spans="1:7" ht="15.75" x14ac:dyDescent="0.25">
      <c r="A882" s="396" t="s">
        <v>572</v>
      </c>
      <c r="B882" s="392" t="s">
        <v>244</v>
      </c>
      <c r="C882" s="392" t="s">
        <v>120</v>
      </c>
      <c r="D882" s="392" t="s">
        <v>984</v>
      </c>
      <c r="E882" s="392"/>
      <c r="F882" s="389">
        <f t="shared" si="89"/>
        <v>87</v>
      </c>
      <c r="G882" s="389">
        <f t="shared" si="89"/>
        <v>87</v>
      </c>
    </row>
    <row r="883" spans="1:7" ht="31.5" x14ac:dyDescent="0.25">
      <c r="A883" s="396" t="s">
        <v>131</v>
      </c>
      <c r="B883" s="392" t="s">
        <v>244</v>
      </c>
      <c r="C883" s="392" t="s">
        <v>120</v>
      </c>
      <c r="D883" s="392" t="s">
        <v>984</v>
      </c>
      <c r="E883" s="392" t="s">
        <v>132</v>
      </c>
      <c r="F883" s="389">
        <f t="shared" si="89"/>
        <v>87</v>
      </c>
      <c r="G883" s="389">
        <f t="shared" si="89"/>
        <v>87</v>
      </c>
    </row>
    <row r="884" spans="1:7" ht="47.25" x14ac:dyDescent="0.25">
      <c r="A884" s="396" t="s">
        <v>133</v>
      </c>
      <c r="B884" s="392" t="s">
        <v>244</v>
      </c>
      <c r="C884" s="392" t="s">
        <v>120</v>
      </c>
      <c r="D884" s="392" t="s">
        <v>984</v>
      </c>
      <c r="E884" s="392" t="s">
        <v>134</v>
      </c>
      <c r="F884" s="389">
        <f>'пр.6.1.ведом.22-23 (2)'!G1045</f>
        <v>87</v>
      </c>
      <c r="G884" s="389">
        <f>'пр.6.1.ведом.22-23 (2)'!H1045</f>
        <v>87</v>
      </c>
    </row>
    <row r="885" spans="1:7" ht="15.75" x14ac:dyDescent="0.25">
      <c r="A885" s="400" t="s">
        <v>490</v>
      </c>
      <c r="B885" s="7" t="s">
        <v>491</v>
      </c>
      <c r="C885" s="399"/>
      <c r="D885" s="399"/>
      <c r="E885" s="399"/>
      <c r="F885" s="388">
        <f>F886+F923</f>
        <v>63981.399999999994</v>
      </c>
      <c r="G885" s="388">
        <f>G886+G923</f>
        <v>64012.600000000006</v>
      </c>
    </row>
    <row r="886" spans="1:7" ht="15.75" x14ac:dyDescent="0.25">
      <c r="A886" s="394" t="s">
        <v>492</v>
      </c>
      <c r="B886" s="395" t="s">
        <v>491</v>
      </c>
      <c r="C886" s="395" t="s">
        <v>118</v>
      </c>
      <c r="D886" s="392"/>
      <c r="E886" s="392"/>
      <c r="F886" s="388">
        <f>F887+F918+F913</f>
        <v>50452.2</v>
      </c>
      <c r="G886" s="388">
        <f>G887+G918+G913</f>
        <v>50483.4</v>
      </c>
    </row>
    <row r="887" spans="1:7" ht="47.25" x14ac:dyDescent="0.25">
      <c r="A887" s="394" t="s">
        <v>1368</v>
      </c>
      <c r="B887" s="395" t="s">
        <v>491</v>
      </c>
      <c r="C887" s="395" t="s">
        <v>118</v>
      </c>
      <c r="D887" s="395" t="s">
        <v>482</v>
      </c>
      <c r="E887" s="395"/>
      <c r="F887" s="388">
        <f>F888+F892+F902+F909</f>
        <v>49873.1</v>
      </c>
      <c r="G887" s="388">
        <f>G888+G892+G902+G909</f>
        <v>49873.1</v>
      </c>
    </row>
    <row r="888" spans="1:7" ht="47.25" x14ac:dyDescent="0.25">
      <c r="A888" s="394" t="s">
        <v>936</v>
      </c>
      <c r="B888" s="395" t="s">
        <v>491</v>
      </c>
      <c r="C888" s="395" t="s">
        <v>118</v>
      </c>
      <c r="D888" s="395" t="s">
        <v>1261</v>
      </c>
      <c r="E888" s="395"/>
      <c r="F888" s="388">
        <f t="shared" ref="F888:G890" si="90">F889</f>
        <v>47819.6</v>
      </c>
      <c r="G888" s="388">
        <f t="shared" si="90"/>
        <v>47819.6</v>
      </c>
    </row>
    <row r="889" spans="1:7" ht="47.25" x14ac:dyDescent="0.25">
      <c r="A889" s="396" t="s">
        <v>1291</v>
      </c>
      <c r="B889" s="392" t="s">
        <v>491</v>
      </c>
      <c r="C889" s="392" t="s">
        <v>118</v>
      </c>
      <c r="D889" s="392" t="s">
        <v>1262</v>
      </c>
      <c r="E889" s="392"/>
      <c r="F889" s="389">
        <f t="shared" si="90"/>
        <v>47819.6</v>
      </c>
      <c r="G889" s="389">
        <f t="shared" si="90"/>
        <v>47819.6</v>
      </c>
    </row>
    <row r="890" spans="1:7" ht="47.25" x14ac:dyDescent="0.25">
      <c r="A890" s="396" t="s">
        <v>272</v>
      </c>
      <c r="B890" s="392" t="s">
        <v>491</v>
      </c>
      <c r="C890" s="392" t="s">
        <v>118</v>
      </c>
      <c r="D890" s="392" t="s">
        <v>1262</v>
      </c>
      <c r="E890" s="392" t="s">
        <v>273</v>
      </c>
      <c r="F890" s="389">
        <f t="shared" si="90"/>
        <v>47819.6</v>
      </c>
      <c r="G890" s="389">
        <f t="shared" si="90"/>
        <v>47819.6</v>
      </c>
    </row>
    <row r="891" spans="1:7" ht="15.75" x14ac:dyDescent="0.25">
      <c r="A891" s="396" t="s">
        <v>274</v>
      </c>
      <c r="B891" s="392" t="s">
        <v>491</v>
      </c>
      <c r="C891" s="392" t="s">
        <v>118</v>
      </c>
      <c r="D891" s="392" t="s">
        <v>1262</v>
      </c>
      <c r="E891" s="392" t="s">
        <v>275</v>
      </c>
      <c r="F891" s="389">
        <f>'пр.6.1.ведом.22-23 (2)'!G770</f>
        <v>47819.6</v>
      </c>
      <c r="G891" s="389">
        <f>'пр.6.1.ведом.22-23 (2)'!H770</f>
        <v>47819.6</v>
      </c>
    </row>
    <row r="892" spans="1:7" ht="31.5" x14ac:dyDescent="0.25">
      <c r="A892" s="394" t="s">
        <v>944</v>
      </c>
      <c r="B892" s="395" t="s">
        <v>491</v>
      </c>
      <c r="C892" s="395" t="s">
        <v>118</v>
      </c>
      <c r="D892" s="395" t="s">
        <v>1263</v>
      </c>
      <c r="E892" s="395"/>
      <c r="F892" s="388">
        <f>F893+F896+F899</f>
        <v>36</v>
      </c>
      <c r="G892" s="388">
        <f>G893+G896+G899</f>
        <v>36</v>
      </c>
    </row>
    <row r="893" spans="1:7" ht="47.25" hidden="1" x14ac:dyDescent="0.25">
      <c r="A893" s="396" t="s">
        <v>278</v>
      </c>
      <c r="B893" s="392" t="s">
        <v>491</v>
      </c>
      <c r="C893" s="392" t="s">
        <v>118</v>
      </c>
      <c r="D893" s="392" t="s">
        <v>1321</v>
      </c>
      <c r="E893" s="392"/>
      <c r="F893" s="389">
        <f>'[1]Пр.4 Рд,пр, ЦС,ВР 21'!F888</f>
        <v>0</v>
      </c>
      <c r="G893" s="389">
        <f>'[1]Пр.4 Рд,пр, ЦС,ВР 21'!G888</f>
        <v>0</v>
      </c>
    </row>
    <row r="894" spans="1:7" ht="47.25" hidden="1" x14ac:dyDescent="0.25">
      <c r="A894" s="396" t="s">
        <v>272</v>
      </c>
      <c r="B894" s="392" t="s">
        <v>491</v>
      </c>
      <c r="C894" s="392" t="s">
        <v>118</v>
      </c>
      <c r="D894" s="392" t="s">
        <v>1321</v>
      </c>
      <c r="E894" s="392" t="s">
        <v>273</v>
      </c>
      <c r="F894" s="389">
        <f>'[1]Пр.4 Рд,пр, ЦС,ВР 21'!F889</f>
        <v>0</v>
      </c>
      <c r="G894" s="389">
        <f>'[1]Пр.4 Рд,пр, ЦС,ВР 21'!G889</f>
        <v>0</v>
      </c>
    </row>
    <row r="895" spans="1:7" ht="15.75" hidden="1" x14ac:dyDescent="0.25">
      <c r="A895" s="396" t="s">
        <v>274</v>
      </c>
      <c r="B895" s="392" t="s">
        <v>491</v>
      </c>
      <c r="C895" s="392" t="s">
        <v>118</v>
      </c>
      <c r="D895" s="392" t="s">
        <v>1321</v>
      </c>
      <c r="E895" s="392" t="s">
        <v>275</v>
      </c>
      <c r="F895" s="389">
        <f>'[1]Пр.4 Рд,пр, ЦС,ВР 21'!F890</f>
        <v>0</v>
      </c>
      <c r="G895" s="389">
        <f>'[1]Пр.4 Рд,пр, ЦС,ВР 21'!G890</f>
        <v>0</v>
      </c>
    </row>
    <row r="896" spans="1:7" ht="31.5" hidden="1" x14ac:dyDescent="0.25">
      <c r="A896" s="396" t="s">
        <v>280</v>
      </c>
      <c r="B896" s="392" t="s">
        <v>491</v>
      </c>
      <c r="C896" s="392" t="s">
        <v>118</v>
      </c>
      <c r="D896" s="392" t="s">
        <v>1322</v>
      </c>
      <c r="E896" s="392"/>
      <c r="F896" s="389">
        <f>F897</f>
        <v>0</v>
      </c>
      <c r="G896" s="389">
        <f>G897</f>
        <v>0</v>
      </c>
    </row>
    <row r="897" spans="1:7" ht="47.25" hidden="1" x14ac:dyDescent="0.25">
      <c r="A897" s="396" t="s">
        <v>272</v>
      </c>
      <c r="B897" s="392" t="s">
        <v>491</v>
      </c>
      <c r="C897" s="392" t="s">
        <v>118</v>
      </c>
      <c r="D897" s="392" t="s">
        <v>1322</v>
      </c>
      <c r="E897" s="392" t="s">
        <v>273</v>
      </c>
      <c r="F897" s="389">
        <f>F898</f>
        <v>0</v>
      </c>
      <c r="G897" s="389">
        <f>G898</f>
        <v>0</v>
      </c>
    </row>
    <row r="898" spans="1:7" ht="15.75" hidden="1" x14ac:dyDescent="0.25">
      <c r="A898" s="396" t="s">
        <v>274</v>
      </c>
      <c r="B898" s="392" t="s">
        <v>491</v>
      </c>
      <c r="C898" s="392" t="s">
        <v>118</v>
      </c>
      <c r="D898" s="392" t="s">
        <v>1322</v>
      </c>
      <c r="E898" s="392" t="s">
        <v>275</v>
      </c>
      <c r="F898" s="389">
        <f>'пр.6.1.ведом.22-23 (2)'!G777</f>
        <v>0</v>
      </c>
      <c r="G898" s="389">
        <f>'пр.6.1.ведом.22-23 (2)'!H777</f>
        <v>0</v>
      </c>
    </row>
    <row r="899" spans="1:7" ht="15.75" x14ac:dyDescent="0.25">
      <c r="A899" s="396" t="s">
        <v>829</v>
      </c>
      <c r="B899" s="392" t="s">
        <v>491</v>
      </c>
      <c r="C899" s="392" t="s">
        <v>118</v>
      </c>
      <c r="D899" s="392" t="s">
        <v>1264</v>
      </c>
      <c r="E899" s="392"/>
      <c r="F899" s="389">
        <f>F900</f>
        <v>36</v>
      </c>
      <c r="G899" s="389">
        <f>G900</f>
        <v>36</v>
      </c>
    </row>
    <row r="900" spans="1:7" ht="47.25" x14ac:dyDescent="0.25">
      <c r="A900" s="396" t="s">
        <v>272</v>
      </c>
      <c r="B900" s="392" t="s">
        <v>491</v>
      </c>
      <c r="C900" s="392" t="s">
        <v>118</v>
      </c>
      <c r="D900" s="392" t="s">
        <v>1264</v>
      </c>
      <c r="E900" s="392" t="s">
        <v>273</v>
      </c>
      <c r="F900" s="389">
        <f>F901</f>
        <v>36</v>
      </c>
      <c r="G900" s="389">
        <f>G901</f>
        <v>36</v>
      </c>
    </row>
    <row r="901" spans="1:7" ht="15.75" x14ac:dyDescent="0.25">
      <c r="A901" s="396" t="s">
        <v>274</v>
      </c>
      <c r="B901" s="392" t="s">
        <v>491</v>
      </c>
      <c r="C901" s="392" t="s">
        <v>118</v>
      </c>
      <c r="D901" s="392" t="s">
        <v>1264</v>
      </c>
      <c r="E901" s="392" t="s">
        <v>275</v>
      </c>
      <c r="F901" s="389">
        <f>'пр.6.1.ведом.22-23 (2)'!G781</f>
        <v>36</v>
      </c>
      <c r="G901" s="389">
        <f>'пр.6.1.ведом.22-23 (2)'!H781</f>
        <v>36</v>
      </c>
    </row>
    <row r="902" spans="1:7" ht="47.25" x14ac:dyDescent="0.25">
      <c r="A902" s="394" t="s">
        <v>946</v>
      </c>
      <c r="B902" s="395" t="s">
        <v>491</v>
      </c>
      <c r="C902" s="395" t="s">
        <v>118</v>
      </c>
      <c r="D902" s="395" t="s">
        <v>1265</v>
      </c>
      <c r="E902" s="395"/>
      <c r="F902" s="388">
        <f>F903+F906</f>
        <v>1204</v>
      </c>
      <c r="G902" s="388">
        <f>G903+G906</f>
        <v>1204</v>
      </c>
    </row>
    <row r="903" spans="1:7" ht="31.5" hidden="1" x14ac:dyDescent="0.25">
      <c r="A903" s="396" t="s">
        <v>791</v>
      </c>
      <c r="B903" s="392" t="s">
        <v>491</v>
      </c>
      <c r="C903" s="392" t="s">
        <v>118</v>
      </c>
      <c r="D903" s="392" t="s">
        <v>1303</v>
      </c>
      <c r="E903" s="392"/>
      <c r="F903" s="389">
        <f>'[1]Пр.4 Рд,пр, ЦС,ВР 21'!F898</f>
        <v>0</v>
      </c>
      <c r="G903" s="389">
        <f>'[1]Пр.4 Рд,пр, ЦС,ВР 21'!G898</f>
        <v>0</v>
      </c>
    </row>
    <row r="904" spans="1:7" ht="47.25" hidden="1" x14ac:dyDescent="0.25">
      <c r="A904" s="396" t="s">
        <v>272</v>
      </c>
      <c r="B904" s="392" t="s">
        <v>491</v>
      </c>
      <c r="C904" s="392" t="s">
        <v>118</v>
      </c>
      <c r="D904" s="392" t="s">
        <v>1303</v>
      </c>
      <c r="E904" s="392" t="s">
        <v>273</v>
      </c>
      <c r="F904" s="389">
        <f>'[1]Пр.4 Рд,пр, ЦС,ВР 21'!F899</f>
        <v>0</v>
      </c>
      <c r="G904" s="389">
        <f>'[1]Пр.4 Рд,пр, ЦС,ВР 21'!G899</f>
        <v>0</v>
      </c>
    </row>
    <row r="905" spans="1:7" ht="15.75" hidden="1" x14ac:dyDescent="0.25">
      <c r="A905" s="396" t="s">
        <v>274</v>
      </c>
      <c r="B905" s="392" t="s">
        <v>491</v>
      </c>
      <c r="C905" s="392" t="s">
        <v>118</v>
      </c>
      <c r="D905" s="392" t="s">
        <v>1303</v>
      </c>
      <c r="E905" s="392" t="s">
        <v>275</v>
      </c>
      <c r="F905" s="389">
        <f>'[1]Пр.4 Рд,пр, ЦС,ВР 21'!F900</f>
        <v>0</v>
      </c>
      <c r="G905" s="389">
        <f>'[1]Пр.4 Рд,пр, ЦС,ВР 21'!G900</f>
        <v>0</v>
      </c>
    </row>
    <row r="906" spans="1:7" ht="47.25" x14ac:dyDescent="0.25">
      <c r="A906" s="45" t="s">
        <v>764</v>
      </c>
      <c r="B906" s="392" t="s">
        <v>491</v>
      </c>
      <c r="C906" s="392" t="s">
        <v>118</v>
      </c>
      <c r="D906" s="392" t="s">
        <v>1266</v>
      </c>
      <c r="E906" s="392"/>
      <c r="F906" s="389">
        <f>F907</f>
        <v>1204</v>
      </c>
      <c r="G906" s="389">
        <f>G907</f>
        <v>1204</v>
      </c>
    </row>
    <row r="907" spans="1:7" ht="47.25" x14ac:dyDescent="0.25">
      <c r="A907" s="31" t="s">
        <v>272</v>
      </c>
      <c r="B907" s="392" t="s">
        <v>491</v>
      </c>
      <c r="C907" s="392" t="s">
        <v>118</v>
      </c>
      <c r="D907" s="392" t="s">
        <v>1266</v>
      </c>
      <c r="E907" s="392" t="s">
        <v>273</v>
      </c>
      <c r="F907" s="389">
        <f>F908</f>
        <v>1204</v>
      </c>
      <c r="G907" s="389">
        <f>G908</f>
        <v>1204</v>
      </c>
    </row>
    <row r="908" spans="1:7" ht="15.75" x14ac:dyDescent="0.25">
      <c r="A908" s="31" t="s">
        <v>274</v>
      </c>
      <c r="B908" s="392" t="s">
        <v>491</v>
      </c>
      <c r="C908" s="392" t="s">
        <v>118</v>
      </c>
      <c r="D908" s="392" t="s">
        <v>1266</v>
      </c>
      <c r="E908" s="392" t="s">
        <v>275</v>
      </c>
      <c r="F908" s="389">
        <f>'пр.6.1.ведом.22-23 (2)'!G788</f>
        <v>1204</v>
      </c>
      <c r="G908" s="389">
        <f>'пр.6.1.ведом.22-23 (2)'!H788</f>
        <v>1204</v>
      </c>
    </row>
    <row r="909" spans="1:7" ht="54.75" customHeight="1" x14ac:dyDescent="0.25">
      <c r="A909" s="394" t="s">
        <v>899</v>
      </c>
      <c r="B909" s="395" t="s">
        <v>491</v>
      </c>
      <c r="C909" s="395" t="s">
        <v>118</v>
      </c>
      <c r="D909" s="395" t="s">
        <v>1267</v>
      </c>
      <c r="E909" s="395"/>
      <c r="F909" s="388">
        <f t="shared" ref="F909:G911" si="91">F910</f>
        <v>813.5</v>
      </c>
      <c r="G909" s="388">
        <f t="shared" si="91"/>
        <v>813.5</v>
      </c>
    </row>
    <row r="910" spans="1:7" ht="121.7" customHeight="1" x14ac:dyDescent="0.25">
      <c r="A910" s="31" t="s">
        <v>464</v>
      </c>
      <c r="B910" s="392" t="s">
        <v>491</v>
      </c>
      <c r="C910" s="392" t="s">
        <v>118</v>
      </c>
      <c r="D910" s="392" t="s">
        <v>1401</v>
      </c>
      <c r="E910" s="392"/>
      <c r="F910" s="389">
        <f t="shared" si="91"/>
        <v>813.5</v>
      </c>
      <c r="G910" s="389">
        <f t="shared" si="91"/>
        <v>813.5</v>
      </c>
    </row>
    <row r="911" spans="1:7" ht="47.25" x14ac:dyDescent="0.25">
      <c r="A911" s="396" t="s">
        <v>272</v>
      </c>
      <c r="B911" s="392" t="s">
        <v>491</v>
      </c>
      <c r="C911" s="392" t="s">
        <v>118</v>
      </c>
      <c r="D911" s="392" t="s">
        <v>1401</v>
      </c>
      <c r="E911" s="392" t="s">
        <v>273</v>
      </c>
      <c r="F911" s="389">
        <f t="shared" si="91"/>
        <v>813.5</v>
      </c>
      <c r="G911" s="389">
        <f t="shared" si="91"/>
        <v>813.5</v>
      </c>
    </row>
    <row r="912" spans="1:7" ht="15.75" x14ac:dyDescent="0.25">
      <c r="A912" s="396" t="s">
        <v>274</v>
      </c>
      <c r="B912" s="392" t="s">
        <v>491</v>
      </c>
      <c r="C912" s="392" t="s">
        <v>118</v>
      </c>
      <c r="D912" s="392" t="s">
        <v>1401</v>
      </c>
      <c r="E912" s="392" t="s">
        <v>275</v>
      </c>
      <c r="F912" s="389">
        <f>'пр.6.1.ведом.22-23 (2)'!G792</f>
        <v>813.5</v>
      </c>
      <c r="G912" s="389">
        <f>'пр.6.1.ведом.22-23 (2)'!H792</f>
        <v>813.5</v>
      </c>
    </row>
    <row r="913" spans="1:7" ht="63" x14ac:dyDescent="0.25">
      <c r="A913" s="34" t="s">
        <v>1356</v>
      </c>
      <c r="B913" s="395" t="s">
        <v>491</v>
      </c>
      <c r="C913" s="395" t="s">
        <v>118</v>
      </c>
      <c r="D913" s="395" t="s">
        <v>324</v>
      </c>
      <c r="E913" s="395"/>
      <c r="F913" s="388">
        <f t="shared" ref="F913:G916" si="92">F914</f>
        <v>0</v>
      </c>
      <c r="G913" s="388">
        <f t="shared" si="92"/>
        <v>8</v>
      </c>
    </row>
    <row r="914" spans="1:7" ht="63" x14ac:dyDescent="0.25">
      <c r="A914" s="34" t="s">
        <v>1023</v>
      </c>
      <c r="B914" s="395" t="s">
        <v>491</v>
      </c>
      <c r="C914" s="395" t="s">
        <v>118</v>
      </c>
      <c r="D914" s="395" t="s">
        <v>933</v>
      </c>
      <c r="E914" s="395"/>
      <c r="F914" s="388">
        <f t="shared" si="92"/>
        <v>0</v>
      </c>
      <c r="G914" s="388">
        <f t="shared" si="92"/>
        <v>8</v>
      </c>
    </row>
    <row r="915" spans="1:7" ht="47.25" x14ac:dyDescent="0.25">
      <c r="A915" s="31" t="s">
        <v>1007</v>
      </c>
      <c r="B915" s="392" t="s">
        <v>491</v>
      </c>
      <c r="C915" s="392" t="s">
        <v>118</v>
      </c>
      <c r="D915" s="392" t="s">
        <v>934</v>
      </c>
      <c r="E915" s="392"/>
      <c r="F915" s="389">
        <f t="shared" si="92"/>
        <v>0</v>
      </c>
      <c r="G915" s="389">
        <f t="shared" si="92"/>
        <v>8</v>
      </c>
    </row>
    <row r="916" spans="1:7" ht="47.25" x14ac:dyDescent="0.25">
      <c r="A916" s="31" t="s">
        <v>272</v>
      </c>
      <c r="B916" s="392" t="s">
        <v>491</v>
      </c>
      <c r="C916" s="392" t="s">
        <v>118</v>
      </c>
      <c r="D916" s="392" t="s">
        <v>934</v>
      </c>
      <c r="E916" s="392" t="s">
        <v>273</v>
      </c>
      <c r="F916" s="389">
        <f t="shared" si="92"/>
        <v>0</v>
      </c>
      <c r="G916" s="389">
        <f t="shared" si="92"/>
        <v>8</v>
      </c>
    </row>
    <row r="917" spans="1:7" ht="15.75" x14ac:dyDescent="0.25">
      <c r="A917" s="31" t="s">
        <v>274</v>
      </c>
      <c r="B917" s="392" t="s">
        <v>491</v>
      </c>
      <c r="C917" s="392" t="s">
        <v>118</v>
      </c>
      <c r="D917" s="392" t="s">
        <v>934</v>
      </c>
      <c r="E917" s="392" t="s">
        <v>275</v>
      </c>
      <c r="F917" s="389">
        <f>'пр.6.1.ведом.22-23 (2)'!G797</f>
        <v>0</v>
      </c>
      <c r="G917" s="389">
        <f>'пр.6.1.ведом.22-23 (2)'!H797</f>
        <v>8</v>
      </c>
    </row>
    <row r="918" spans="1:7" ht="48.95" customHeight="1" x14ac:dyDescent="0.25">
      <c r="A918" s="400" t="s">
        <v>1351</v>
      </c>
      <c r="B918" s="395" t="s">
        <v>491</v>
      </c>
      <c r="C918" s="395" t="s">
        <v>118</v>
      </c>
      <c r="D918" s="395" t="s">
        <v>705</v>
      </c>
      <c r="E918" s="403"/>
      <c r="F918" s="388">
        <f t="shared" ref="F918:G921" si="93">F919</f>
        <v>579.1</v>
      </c>
      <c r="G918" s="388">
        <f t="shared" si="93"/>
        <v>602.29999999999995</v>
      </c>
    </row>
    <row r="919" spans="1:7" ht="63" x14ac:dyDescent="0.25">
      <c r="A919" s="400" t="s">
        <v>889</v>
      </c>
      <c r="B919" s="395" t="s">
        <v>491</v>
      </c>
      <c r="C919" s="395" t="s">
        <v>118</v>
      </c>
      <c r="D919" s="395" t="s">
        <v>887</v>
      </c>
      <c r="E919" s="403"/>
      <c r="F919" s="388">
        <f t="shared" si="93"/>
        <v>579.1</v>
      </c>
      <c r="G919" s="388">
        <f t="shared" si="93"/>
        <v>602.29999999999995</v>
      </c>
    </row>
    <row r="920" spans="1:7" ht="47.25" x14ac:dyDescent="0.25">
      <c r="A920" s="98" t="s">
        <v>780</v>
      </c>
      <c r="B920" s="392" t="s">
        <v>491</v>
      </c>
      <c r="C920" s="392" t="s">
        <v>118</v>
      </c>
      <c r="D920" s="392" t="s">
        <v>935</v>
      </c>
      <c r="E920" s="398"/>
      <c r="F920" s="389">
        <f t="shared" si="93"/>
        <v>579.1</v>
      </c>
      <c r="G920" s="389">
        <f t="shared" si="93"/>
        <v>602.29999999999995</v>
      </c>
    </row>
    <row r="921" spans="1:7" ht="47.25" x14ac:dyDescent="0.25">
      <c r="A921" s="29" t="s">
        <v>272</v>
      </c>
      <c r="B921" s="392" t="s">
        <v>491</v>
      </c>
      <c r="C921" s="392" t="s">
        <v>118</v>
      </c>
      <c r="D921" s="392" t="s">
        <v>935</v>
      </c>
      <c r="E921" s="398" t="s">
        <v>273</v>
      </c>
      <c r="F921" s="389">
        <f t="shared" si="93"/>
        <v>579.1</v>
      </c>
      <c r="G921" s="389">
        <f t="shared" si="93"/>
        <v>602.29999999999995</v>
      </c>
    </row>
    <row r="922" spans="1:7" ht="15.75" x14ac:dyDescent="0.25">
      <c r="A922" s="180" t="s">
        <v>274</v>
      </c>
      <c r="B922" s="392" t="s">
        <v>491</v>
      </c>
      <c r="C922" s="392" t="s">
        <v>118</v>
      </c>
      <c r="D922" s="392" t="s">
        <v>935</v>
      </c>
      <c r="E922" s="398" t="s">
        <v>275</v>
      </c>
      <c r="F922" s="389">
        <f>'пр.6.1.ведом.22-23 (2)'!G802</f>
        <v>579.1</v>
      </c>
      <c r="G922" s="389">
        <f>'пр.6.1.ведом.22-23 (2)'!H802</f>
        <v>602.29999999999995</v>
      </c>
    </row>
    <row r="923" spans="1:7" ht="31.5" x14ac:dyDescent="0.25">
      <c r="A923" s="394" t="s">
        <v>500</v>
      </c>
      <c r="B923" s="395" t="s">
        <v>491</v>
      </c>
      <c r="C923" s="395" t="s">
        <v>234</v>
      </c>
      <c r="D923" s="395"/>
      <c r="E923" s="395"/>
      <c r="F923" s="388">
        <f>F924+F932+F944</f>
        <v>13529.2</v>
      </c>
      <c r="G923" s="388">
        <f>G924+G932+G944</f>
        <v>13529.2</v>
      </c>
    </row>
    <row r="924" spans="1:7" ht="31.5" x14ac:dyDescent="0.25">
      <c r="A924" s="394" t="s">
        <v>916</v>
      </c>
      <c r="B924" s="395" t="s">
        <v>491</v>
      </c>
      <c r="C924" s="395" t="s">
        <v>234</v>
      </c>
      <c r="D924" s="395" t="s">
        <v>857</v>
      </c>
      <c r="E924" s="395"/>
      <c r="F924" s="388">
        <f>F925</f>
        <v>5224.5</v>
      </c>
      <c r="G924" s="388">
        <f>G925</f>
        <v>5224.5</v>
      </c>
    </row>
    <row r="925" spans="1:7" ht="15.75" x14ac:dyDescent="0.25">
      <c r="A925" s="394" t="s">
        <v>917</v>
      </c>
      <c r="B925" s="395" t="s">
        <v>491</v>
      </c>
      <c r="C925" s="395" t="s">
        <v>234</v>
      </c>
      <c r="D925" s="395" t="s">
        <v>858</v>
      </c>
      <c r="E925" s="395"/>
      <c r="F925" s="388">
        <f>F926+F929</f>
        <v>5224.5</v>
      </c>
      <c r="G925" s="388">
        <f>G926+G929</f>
        <v>5224.5</v>
      </c>
    </row>
    <row r="926" spans="1:7" ht="31.5" x14ac:dyDescent="0.25">
      <c r="A926" s="396" t="s">
        <v>896</v>
      </c>
      <c r="B926" s="392" t="s">
        <v>491</v>
      </c>
      <c r="C926" s="392" t="s">
        <v>234</v>
      </c>
      <c r="D926" s="392" t="s">
        <v>859</v>
      </c>
      <c r="E926" s="392"/>
      <c r="F926" s="389">
        <f>F927</f>
        <v>4888.5</v>
      </c>
      <c r="G926" s="389">
        <f>G927</f>
        <v>4888.5</v>
      </c>
    </row>
    <row r="927" spans="1:7" ht="94.5" x14ac:dyDescent="0.25">
      <c r="A927" s="396" t="s">
        <v>127</v>
      </c>
      <c r="B927" s="392" t="s">
        <v>491</v>
      </c>
      <c r="C927" s="392" t="s">
        <v>234</v>
      </c>
      <c r="D927" s="392" t="s">
        <v>859</v>
      </c>
      <c r="E927" s="392" t="s">
        <v>128</v>
      </c>
      <c r="F927" s="389">
        <f>F928</f>
        <v>4888.5</v>
      </c>
      <c r="G927" s="389">
        <f>G928</f>
        <v>4888.5</v>
      </c>
    </row>
    <row r="928" spans="1:7" ht="31.5" x14ac:dyDescent="0.25">
      <c r="A928" s="396" t="s">
        <v>129</v>
      </c>
      <c r="B928" s="392" t="s">
        <v>491</v>
      </c>
      <c r="C928" s="392" t="s">
        <v>234</v>
      </c>
      <c r="D928" s="392" t="s">
        <v>859</v>
      </c>
      <c r="E928" s="392" t="s">
        <v>130</v>
      </c>
      <c r="F928" s="389">
        <f>'пр.6.1.ведом.22-23 (2)'!G808</f>
        <v>4888.5</v>
      </c>
      <c r="G928" s="389">
        <f>'пр.6.1.ведом.22-23 (2)'!H808</f>
        <v>4888.5</v>
      </c>
    </row>
    <row r="929" spans="1:7" ht="47.25" x14ac:dyDescent="0.25">
      <c r="A929" s="396" t="s">
        <v>838</v>
      </c>
      <c r="B929" s="392" t="s">
        <v>491</v>
      </c>
      <c r="C929" s="392" t="s">
        <v>234</v>
      </c>
      <c r="D929" s="392" t="s">
        <v>861</v>
      </c>
      <c r="E929" s="392"/>
      <c r="F929" s="389">
        <f>F930</f>
        <v>336</v>
      </c>
      <c r="G929" s="389">
        <f>G930</f>
        <v>336</v>
      </c>
    </row>
    <row r="930" spans="1:7" ht="94.5" x14ac:dyDescent="0.25">
      <c r="A930" s="396" t="s">
        <v>127</v>
      </c>
      <c r="B930" s="392" t="s">
        <v>491</v>
      </c>
      <c r="C930" s="392" t="s">
        <v>234</v>
      </c>
      <c r="D930" s="392" t="s">
        <v>861</v>
      </c>
      <c r="E930" s="392" t="s">
        <v>128</v>
      </c>
      <c r="F930" s="389">
        <f>F931</f>
        <v>336</v>
      </c>
      <c r="G930" s="389">
        <f>G931</f>
        <v>336</v>
      </c>
    </row>
    <row r="931" spans="1:7" ht="31.5" x14ac:dyDescent="0.25">
      <c r="A931" s="396" t="s">
        <v>129</v>
      </c>
      <c r="B931" s="392" t="s">
        <v>491</v>
      </c>
      <c r="C931" s="392" t="s">
        <v>234</v>
      </c>
      <c r="D931" s="392" t="s">
        <v>861</v>
      </c>
      <c r="E931" s="392" t="s">
        <v>130</v>
      </c>
      <c r="F931" s="389">
        <f>'пр.6.1.ведом.22-23 (2)'!G811</f>
        <v>336</v>
      </c>
      <c r="G931" s="389">
        <f>'пр.6.1.ведом.22-23 (2)'!H811</f>
        <v>336</v>
      </c>
    </row>
    <row r="932" spans="1:7" ht="15.75" x14ac:dyDescent="0.25">
      <c r="A932" s="394" t="s">
        <v>141</v>
      </c>
      <c r="B932" s="395" t="s">
        <v>491</v>
      </c>
      <c r="C932" s="395" t="s">
        <v>234</v>
      </c>
      <c r="D932" s="395" t="s">
        <v>865</v>
      </c>
      <c r="E932" s="395"/>
      <c r="F932" s="388">
        <f>F933</f>
        <v>5304.7</v>
      </c>
      <c r="G932" s="388">
        <f>G933</f>
        <v>5304.7</v>
      </c>
    </row>
    <row r="933" spans="1:7" ht="32.65" customHeight="1" x14ac:dyDescent="0.25">
      <c r="A933" s="394" t="s">
        <v>928</v>
      </c>
      <c r="B933" s="395" t="s">
        <v>491</v>
      </c>
      <c r="C933" s="395" t="s">
        <v>234</v>
      </c>
      <c r="D933" s="395" t="s">
        <v>913</v>
      </c>
      <c r="E933" s="395"/>
      <c r="F933" s="388">
        <f>F934+F941</f>
        <v>5304.7</v>
      </c>
      <c r="G933" s="388">
        <f>G934+G941</f>
        <v>5304.7</v>
      </c>
    </row>
    <row r="934" spans="1:7" ht="31.5" x14ac:dyDescent="0.25">
      <c r="A934" s="396" t="s">
        <v>902</v>
      </c>
      <c r="B934" s="392" t="s">
        <v>491</v>
      </c>
      <c r="C934" s="392" t="s">
        <v>234</v>
      </c>
      <c r="D934" s="392" t="s">
        <v>914</v>
      </c>
      <c r="E934" s="392"/>
      <c r="F934" s="389">
        <f>F937+F939+F935</f>
        <v>5089.7</v>
      </c>
      <c r="G934" s="389">
        <f>G937+G939+G935</f>
        <v>5089.7</v>
      </c>
    </row>
    <row r="935" spans="1:7" ht="94.5" x14ac:dyDescent="0.25">
      <c r="A935" s="396" t="s">
        <v>127</v>
      </c>
      <c r="B935" s="392" t="s">
        <v>491</v>
      </c>
      <c r="C935" s="392" t="s">
        <v>234</v>
      </c>
      <c r="D935" s="392" t="s">
        <v>914</v>
      </c>
      <c r="E935" s="392" t="s">
        <v>128</v>
      </c>
      <c r="F935" s="389">
        <f>F936</f>
        <v>4695.3999999999996</v>
      </c>
      <c r="G935" s="389">
        <f>G936</f>
        <v>4695.3999999999996</v>
      </c>
    </row>
    <row r="936" spans="1:7" ht="31.5" x14ac:dyDescent="0.25">
      <c r="A936" s="396" t="s">
        <v>342</v>
      </c>
      <c r="B936" s="392" t="s">
        <v>491</v>
      </c>
      <c r="C936" s="392" t="s">
        <v>234</v>
      </c>
      <c r="D936" s="392" t="s">
        <v>914</v>
      </c>
      <c r="E936" s="392" t="s">
        <v>209</v>
      </c>
      <c r="F936" s="389">
        <f>'пр.6.1.ведом.22-23 (2)'!G816</f>
        <v>4695.3999999999996</v>
      </c>
      <c r="G936" s="389">
        <f>'пр.6.1.ведом.22-23 (2)'!H816</f>
        <v>4695.3999999999996</v>
      </c>
    </row>
    <row r="937" spans="1:7" ht="31.5" x14ac:dyDescent="0.25">
      <c r="A937" s="396" t="s">
        <v>131</v>
      </c>
      <c r="B937" s="392" t="s">
        <v>491</v>
      </c>
      <c r="C937" s="392" t="s">
        <v>234</v>
      </c>
      <c r="D937" s="392" t="s">
        <v>914</v>
      </c>
      <c r="E937" s="392" t="s">
        <v>132</v>
      </c>
      <c r="F937" s="389">
        <f>F938</f>
        <v>343.3</v>
      </c>
      <c r="G937" s="389">
        <f>G938</f>
        <v>343.3</v>
      </c>
    </row>
    <row r="938" spans="1:7" ht="47.25" x14ac:dyDescent="0.25">
      <c r="A938" s="396" t="s">
        <v>133</v>
      </c>
      <c r="B938" s="392" t="s">
        <v>491</v>
      </c>
      <c r="C938" s="392" t="s">
        <v>234</v>
      </c>
      <c r="D938" s="392" t="s">
        <v>914</v>
      </c>
      <c r="E938" s="392" t="s">
        <v>134</v>
      </c>
      <c r="F938" s="389">
        <f>'пр.6.1.ведом.22-23 (2)'!G818</f>
        <v>343.3</v>
      </c>
      <c r="G938" s="389">
        <f>'пр.6.1.ведом.22-23 (2)'!H818</f>
        <v>343.3</v>
      </c>
    </row>
    <row r="939" spans="1:7" ht="15.75" x14ac:dyDescent="0.25">
      <c r="A939" s="396" t="s">
        <v>135</v>
      </c>
      <c r="B939" s="392" t="s">
        <v>491</v>
      </c>
      <c r="C939" s="392" t="s">
        <v>234</v>
      </c>
      <c r="D939" s="392" t="s">
        <v>914</v>
      </c>
      <c r="E939" s="392" t="s">
        <v>145</v>
      </c>
      <c r="F939" s="389">
        <f>F940</f>
        <v>51</v>
      </c>
      <c r="G939" s="389">
        <f>G940</f>
        <v>51</v>
      </c>
    </row>
    <row r="940" spans="1:7" ht="15.75" x14ac:dyDescent="0.25">
      <c r="A940" s="396" t="s">
        <v>568</v>
      </c>
      <c r="B940" s="392" t="s">
        <v>491</v>
      </c>
      <c r="C940" s="392" t="s">
        <v>234</v>
      </c>
      <c r="D940" s="392" t="s">
        <v>914</v>
      </c>
      <c r="E940" s="392" t="s">
        <v>138</v>
      </c>
      <c r="F940" s="389">
        <f>'пр.6.1.ведом.22-23 (2)'!G820</f>
        <v>51</v>
      </c>
      <c r="G940" s="389">
        <f>'пр.6.1.ведом.22-23 (2)'!H820</f>
        <v>51</v>
      </c>
    </row>
    <row r="941" spans="1:7" ht="47.25" x14ac:dyDescent="0.25">
      <c r="A941" s="396" t="s">
        <v>838</v>
      </c>
      <c r="B941" s="392" t="s">
        <v>491</v>
      </c>
      <c r="C941" s="392" t="s">
        <v>234</v>
      </c>
      <c r="D941" s="392" t="s">
        <v>915</v>
      </c>
      <c r="E941" s="392"/>
      <c r="F941" s="389">
        <f>F942</f>
        <v>215</v>
      </c>
      <c r="G941" s="389">
        <f>G942</f>
        <v>215</v>
      </c>
    </row>
    <row r="942" spans="1:7" ht="94.5" x14ac:dyDescent="0.25">
      <c r="A942" s="396" t="s">
        <v>127</v>
      </c>
      <c r="B942" s="392" t="s">
        <v>491</v>
      </c>
      <c r="C942" s="392" t="s">
        <v>234</v>
      </c>
      <c r="D942" s="392" t="s">
        <v>915</v>
      </c>
      <c r="E942" s="392" t="s">
        <v>128</v>
      </c>
      <c r="F942" s="389">
        <f>F943</f>
        <v>215</v>
      </c>
      <c r="G942" s="389">
        <f>G943</f>
        <v>215</v>
      </c>
    </row>
    <row r="943" spans="1:7" ht="31.5" x14ac:dyDescent="0.25">
      <c r="A943" s="396" t="s">
        <v>129</v>
      </c>
      <c r="B943" s="392" t="s">
        <v>491</v>
      </c>
      <c r="C943" s="392" t="s">
        <v>234</v>
      </c>
      <c r="D943" s="392" t="s">
        <v>915</v>
      </c>
      <c r="E943" s="392" t="s">
        <v>130</v>
      </c>
      <c r="F943" s="389">
        <f>'пр.6.1.ведом.22-23 (2)'!G823</f>
        <v>215</v>
      </c>
      <c r="G943" s="389">
        <f>'пр.6.1.ведом.22-23 (2)'!H823</f>
        <v>215</v>
      </c>
    </row>
    <row r="944" spans="1:7" ht="47.25" x14ac:dyDescent="0.25">
      <c r="A944" s="400" t="s">
        <v>1368</v>
      </c>
      <c r="B944" s="395" t="s">
        <v>491</v>
      </c>
      <c r="C944" s="395" t="s">
        <v>234</v>
      </c>
      <c r="D944" s="7" t="s">
        <v>482</v>
      </c>
      <c r="E944" s="395"/>
      <c r="F944" s="388">
        <f>F945</f>
        <v>3000</v>
      </c>
      <c r="G944" s="388">
        <f>G945</f>
        <v>3000</v>
      </c>
    </row>
    <row r="945" spans="1:7" ht="31.5" x14ac:dyDescent="0.25">
      <c r="A945" s="58" t="s">
        <v>950</v>
      </c>
      <c r="B945" s="395" t="s">
        <v>491</v>
      </c>
      <c r="C945" s="395" t="s">
        <v>234</v>
      </c>
      <c r="D945" s="7" t="s">
        <v>1269</v>
      </c>
      <c r="E945" s="395"/>
      <c r="F945" s="388">
        <f t="shared" ref="F945:G945" si="94">F946</f>
        <v>3000</v>
      </c>
      <c r="G945" s="388">
        <f t="shared" si="94"/>
        <v>3000</v>
      </c>
    </row>
    <row r="946" spans="1:7" ht="31.5" x14ac:dyDescent="0.25">
      <c r="A946" s="29" t="s">
        <v>951</v>
      </c>
      <c r="B946" s="392" t="s">
        <v>491</v>
      </c>
      <c r="C946" s="392" t="s">
        <v>234</v>
      </c>
      <c r="D946" s="399" t="s">
        <v>1270</v>
      </c>
      <c r="E946" s="392"/>
      <c r="F946" s="389">
        <f>F947+F949</f>
        <v>3000</v>
      </c>
      <c r="G946" s="389">
        <f>G947+G949</f>
        <v>3000</v>
      </c>
    </row>
    <row r="947" spans="1:7" ht="94.5" x14ac:dyDescent="0.25">
      <c r="A947" s="396" t="s">
        <v>127</v>
      </c>
      <c r="B947" s="392" t="s">
        <v>491</v>
      </c>
      <c r="C947" s="392" t="s">
        <v>234</v>
      </c>
      <c r="D947" s="399" t="s">
        <v>1270</v>
      </c>
      <c r="E947" s="392" t="s">
        <v>128</v>
      </c>
      <c r="F947" s="389">
        <f>F948</f>
        <v>2500</v>
      </c>
      <c r="G947" s="389">
        <f>G948</f>
        <v>2500</v>
      </c>
    </row>
    <row r="948" spans="1:7" ht="31.5" x14ac:dyDescent="0.25">
      <c r="A948" s="396" t="s">
        <v>342</v>
      </c>
      <c r="B948" s="392" t="s">
        <v>491</v>
      </c>
      <c r="C948" s="392" t="s">
        <v>234</v>
      </c>
      <c r="D948" s="399" t="s">
        <v>1270</v>
      </c>
      <c r="E948" s="392" t="s">
        <v>209</v>
      </c>
      <c r="F948" s="389">
        <f>'пр.6.1.ведом.22-23 (2)'!G828</f>
        <v>2500</v>
      </c>
      <c r="G948" s="389">
        <f>'пр.6.1.ведом.22-23 (2)'!H828</f>
        <v>2500</v>
      </c>
    </row>
    <row r="949" spans="1:7" ht="31.5" x14ac:dyDescent="0.25">
      <c r="A949" s="29" t="s">
        <v>131</v>
      </c>
      <c r="B949" s="392" t="s">
        <v>491</v>
      </c>
      <c r="C949" s="392" t="s">
        <v>234</v>
      </c>
      <c r="D949" s="399" t="s">
        <v>1270</v>
      </c>
      <c r="E949" s="392" t="s">
        <v>132</v>
      </c>
      <c r="F949" s="389">
        <f>F950</f>
        <v>500</v>
      </c>
      <c r="G949" s="389">
        <f>G950</f>
        <v>500</v>
      </c>
    </row>
    <row r="950" spans="1:7" ht="47.25" x14ac:dyDescent="0.25">
      <c r="A950" s="29" t="s">
        <v>133</v>
      </c>
      <c r="B950" s="392" t="s">
        <v>491</v>
      </c>
      <c r="C950" s="392" t="s">
        <v>234</v>
      </c>
      <c r="D950" s="399" t="s">
        <v>1270</v>
      </c>
      <c r="E950" s="392" t="s">
        <v>134</v>
      </c>
      <c r="F950" s="389">
        <f>'пр.6.1.ведом.22-23 (2)'!G830</f>
        <v>500</v>
      </c>
      <c r="G950" s="389">
        <f>'пр.6.1.ведом.22-23 (2)'!H830</f>
        <v>500</v>
      </c>
    </row>
    <row r="951" spans="1:7" ht="15.75" x14ac:dyDescent="0.25">
      <c r="A951" s="400" t="s">
        <v>582</v>
      </c>
      <c r="B951" s="7" t="s">
        <v>238</v>
      </c>
      <c r="C951" s="399"/>
      <c r="D951" s="399"/>
      <c r="E951" s="399"/>
      <c r="F951" s="388">
        <f t="shared" ref="F951:G951" si="95">F952</f>
        <v>5873.2</v>
      </c>
      <c r="G951" s="388">
        <f t="shared" si="95"/>
        <v>5876.2</v>
      </c>
    </row>
    <row r="952" spans="1:7" ht="15.75" x14ac:dyDescent="0.25">
      <c r="A952" s="400" t="s">
        <v>583</v>
      </c>
      <c r="B952" s="7" t="s">
        <v>238</v>
      </c>
      <c r="C952" s="7" t="s">
        <v>213</v>
      </c>
      <c r="D952" s="7"/>
      <c r="E952" s="7"/>
      <c r="F952" s="388">
        <f>F953+F965</f>
        <v>5873.2</v>
      </c>
      <c r="G952" s="388">
        <f>G953+G965</f>
        <v>5876.2</v>
      </c>
    </row>
    <row r="953" spans="1:7" ht="47.25" x14ac:dyDescent="0.25">
      <c r="A953" s="394" t="s">
        <v>1350</v>
      </c>
      <c r="B953" s="395" t="s">
        <v>238</v>
      </c>
      <c r="C953" s="395" t="s">
        <v>213</v>
      </c>
      <c r="D953" s="395" t="s">
        <v>267</v>
      </c>
      <c r="E953" s="395"/>
      <c r="F953" s="388">
        <f>F954</f>
        <v>5798.3</v>
      </c>
      <c r="G953" s="388">
        <f>G954</f>
        <v>5798.3</v>
      </c>
    </row>
    <row r="954" spans="1:7" ht="47.25" x14ac:dyDescent="0.25">
      <c r="A954" s="394" t="s">
        <v>1298</v>
      </c>
      <c r="B954" s="395" t="s">
        <v>238</v>
      </c>
      <c r="C954" s="395" t="s">
        <v>213</v>
      </c>
      <c r="D954" s="395" t="s">
        <v>1201</v>
      </c>
      <c r="E954" s="395"/>
      <c r="F954" s="388">
        <f>F955+F962</f>
        <v>5798.3</v>
      </c>
      <c r="G954" s="388">
        <f>G955+G962</f>
        <v>5798.3</v>
      </c>
    </row>
    <row r="955" spans="1:7" ht="31.5" x14ac:dyDescent="0.25">
      <c r="A955" s="396" t="s">
        <v>801</v>
      </c>
      <c r="B955" s="392" t="s">
        <v>238</v>
      </c>
      <c r="C955" s="392" t="s">
        <v>213</v>
      </c>
      <c r="D955" s="392" t="s">
        <v>1202</v>
      </c>
      <c r="E955" s="392"/>
      <c r="F955" s="389">
        <f>F956+F958+F960</f>
        <v>5522.3</v>
      </c>
      <c r="G955" s="389">
        <f>G956+G958+G960</f>
        <v>5522.3</v>
      </c>
    </row>
    <row r="956" spans="1:7" ht="94.5" x14ac:dyDescent="0.25">
      <c r="A956" s="396" t="s">
        <v>127</v>
      </c>
      <c r="B956" s="392" t="s">
        <v>238</v>
      </c>
      <c r="C956" s="392" t="s">
        <v>213</v>
      </c>
      <c r="D956" s="392" t="s">
        <v>1202</v>
      </c>
      <c r="E956" s="392" t="s">
        <v>128</v>
      </c>
      <c r="F956" s="389">
        <f>F957</f>
        <v>4897.2</v>
      </c>
      <c r="G956" s="389">
        <f>G957</f>
        <v>4897.2</v>
      </c>
    </row>
    <row r="957" spans="1:7" ht="31.5" x14ac:dyDescent="0.25">
      <c r="A957" s="396" t="s">
        <v>208</v>
      </c>
      <c r="B957" s="392" t="s">
        <v>238</v>
      </c>
      <c r="C957" s="392" t="s">
        <v>213</v>
      </c>
      <c r="D957" s="392" t="s">
        <v>1202</v>
      </c>
      <c r="E957" s="392" t="s">
        <v>209</v>
      </c>
      <c r="F957" s="389">
        <f>'пр.6.1.ведом.22-23 (2)'!G474</f>
        <v>4897.2</v>
      </c>
      <c r="G957" s="389">
        <f>'пр.6.1.ведом.22-23 (2)'!H474</f>
        <v>4897.2</v>
      </c>
    </row>
    <row r="958" spans="1:7" ht="31.5" x14ac:dyDescent="0.25">
      <c r="A958" s="396" t="s">
        <v>131</v>
      </c>
      <c r="B958" s="392" t="s">
        <v>238</v>
      </c>
      <c r="C958" s="392" t="s">
        <v>213</v>
      </c>
      <c r="D958" s="392" t="s">
        <v>1202</v>
      </c>
      <c r="E958" s="392" t="s">
        <v>132</v>
      </c>
      <c r="F958" s="389">
        <f>F959</f>
        <v>595.1</v>
      </c>
      <c r="G958" s="389">
        <f>G959</f>
        <v>595.1</v>
      </c>
    </row>
    <row r="959" spans="1:7" ht="47.25" x14ac:dyDescent="0.25">
      <c r="A959" s="396" t="s">
        <v>133</v>
      </c>
      <c r="B959" s="392" t="s">
        <v>238</v>
      </c>
      <c r="C959" s="392" t="s">
        <v>213</v>
      </c>
      <c r="D959" s="392" t="s">
        <v>1202</v>
      </c>
      <c r="E959" s="392" t="s">
        <v>134</v>
      </c>
      <c r="F959" s="389">
        <f>'пр.6.1.ведом.22-23 (2)'!G476</f>
        <v>595.1</v>
      </c>
      <c r="G959" s="389">
        <f>'пр.6.1.ведом.22-23 (2)'!H476</f>
        <v>595.1</v>
      </c>
    </row>
    <row r="960" spans="1:7" ht="15.75" x14ac:dyDescent="0.25">
      <c r="A960" s="396" t="s">
        <v>135</v>
      </c>
      <c r="B960" s="392" t="s">
        <v>238</v>
      </c>
      <c r="C960" s="392" t="s">
        <v>213</v>
      </c>
      <c r="D960" s="392" t="s">
        <v>1202</v>
      </c>
      <c r="E960" s="392" t="s">
        <v>145</v>
      </c>
      <c r="F960" s="389">
        <f>F961</f>
        <v>30</v>
      </c>
      <c r="G960" s="389">
        <f>G961</f>
        <v>30</v>
      </c>
    </row>
    <row r="961" spans="1:7" ht="24.75" customHeight="1" x14ac:dyDescent="0.25">
      <c r="A961" s="396" t="s">
        <v>568</v>
      </c>
      <c r="B961" s="392" t="s">
        <v>238</v>
      </c>
      <c r="C961" s="392" t="s">
        <v>213</v>
      </c>
      <c r="D961" s="392" t="s">
        <v>1202</v>
      </c>
      <c r="E961" s="392" t="s">
        <v>138</v>
      </c>
      <c r="F961" s="389">
        <f>'пр.6.1.ведом.22-23 (2)'!G478</f>
        <v>30</v>
      </c>
      <c r="G961" s="389">
        <f>'пр.6.1.ведом.22-23 (2)'!H478</f>
        <v>30</v>
      </c>
    </row>
    <row r="962" spans="1:7" ht="47.25" x14ac:dyDescent="0.25">
      <c r="A962" s="396" t="s">
        <v>838</v>
      </c>
      <c r="B962" s="392" t="s">
        <v>238</v>
      </c>
      <c r="C962" s="392" t="s">
        <v>213</v>
      </c>
      <c r="D962" s="392" t="s">
        <v>1310</v>
      </c>
      <c r="E962" s="392"/>
      <c r="F962" s="389">
        <f>F963</f>
        <v>276</v>
      </c>
      <c r="G962" s="389">
        <f>G963</f>
        <v>276</v>
      </c>
    </row>
    <row r="963" spans="1:7" ht="94.5" x14ac:dyDescent="0.25">
      <c r="A963" s="396" t="s">
        <v>127</v>
      </c>
      <c r="B963" s="392" t="s">
        <v>238</v>
      </c>
      <c r="C963" s="392" t="s">
        <v>213</v>
      </c>
      <c r="D963" s="392" t="s">
        <v>1310</v>
      </c>
      <c r="E963" s="392" t="s">
        <v>128</v>
      </c>
      <c r="F963" s="389">
        <f>F964</f>
        <v>276</v>
      </c>
      <c r="G963" s="389">
        <f>G964</f>
        <v>276</v>
      </c>
    </row>
    <row r="964" spans="1:7" ht="31.5" x14ac:dyDescent="0.25">
      <c r="A964" s="396" t="s">
        <v>129</v>
      </c>
      <c r="B964" s="392" t="s">
        <v>238</v>
      </c>
      <c r="C964" s="392" t="s">
        <v>213</v>
      </c>
      <c r="D964" s="392" t="s">
        <v>1310</v>
      </c>
      <c r="E964" s="392" t="s">
        <v>209</v>
      </c>
      <c r="F964" s="389">
        <f>'пр.6.1.ведом.22-23 (2)'!G482</f>
        <v>276</v>
      </c>
      <c r="G964" s="389">
        <f>'пр.6.1.ведом.22-23 (2)'!H482</f>
        <v>276</v>
      </c>
    </row>
    <row r="965" spans="1:7" ht="63" x14ac:dyDescent="0.25">
      <c r="A965" s="400" t="s">
        <v>1351</v>
      </c>
      <c r="B965" s="395" t="s">
        <v>238</v>
      </c>
      <c r="C965" s="395" t="s">
        <v>213</v>
      </c>
      <c r="D965" s="395" t="s">
        <v>705</v>
      </c>
      <c r="E965" s="403"/>
      <c r="F965" s="388">
        <f t="shared" ref="F965:G968" si="96">F966</f>
        <v>74.900000000000006</v>
      </c>
      <c r="G965" s="388">
        <f t="shared" si="96"/>
        <v>77.900000000000006</v>
      </c>
    </row>
    <row r="966" spans="1:7" ht="53.1" customHeight="1" x14ac:dyDescent="0.25">
      <c r="A966" s="400" t="s">
        <v>889</v>
      </c>
      <c r="B966" s="395" t="s">
        <v>238</v>
      </c>
      <c r="C966" s="395" t="s">
        <v>213</v>
      </c>
      <c r="D966" s="395" t="s">
        <v>887</v>
      </c>
      <c r="E966" s="403"/>
      <c r="F966" s="388">
        <f t="shared" si="96"/>
        <v>74.900000000000006</v>
      </c>
      <c r="G966" s="388">
        <f t="shared" si="96"/>
        <v>77.900000000000006</v>
      </c>
    </row>
    <row r="967" spans="1:7" ht="47.25" x14ac:dyDescent="0.25">
      <c r="A967" s="98" t="s">
        <v>1003</v>
      </c>
      <c r="B967" s="392" t="s">
        <v>238</v>
      </c>
      <c r="C967" s="392" t="s">
        <v>213</v>
      </c>
      <c r="D967" s="392" t="s">
        <v>888</v>
      </c>
      <c r="E967" s="398"/>
      <c r="F967" s="389">
        <f t="shared" si="96"/>
        <v>74.900000000000006</v>
      </c>
      <c r="G967" s="389">
        <f t="shared" si="96"/>
        <v>77.900000000000006</v>
      </c>
    </row>
    <row r="968" spans="1:7" ht="31.5" x14ac:dyDescent="0.25">
      <c r="A968" s="396" t="s">
        <v>131</v>
      </c>
      <c r="B968" s="392" t="s">
        <v>238</v>
      </c>
      <c r="C968" s="392" t="s">
        <v>213</v>
      </c>
      <c r="D968" s="392" t="s">
        <v>888</v>
      </c>
      <c r="E968" s="398" t="s">
        <v>132</v>
      </c>
      <c r="F968" s="389">
        <f t="shared" si="96"/>
        <v>74.900000000000006</v>
      </c>
      <c r="G968" s="389">
        <f t="shared" si="96"/>
        <v>77.900000000000006</v>
      </c>
    </row>
    <row r="969" spans="1:7" ht="47.25" x14ac:dyDescent="0.25">
      <c r="A969" s="396" t="s">
        <v>133</v>
      </c>
      <c r="B969" s="392" t="s">
        <v>238</v>
      </c>
      <c r="C969" s="392" t="s">
        <v>213</v>
      </c>
      <c r="D969" s="392" t="s">
        <v>888</v>
      </c>
      <c r="E969" s="398" t="s">
        <v>134</v>
      </c>
      <c r="F969" s="389">
        <f>'пр.6.1.ведом.22-23 (2)'!G487</f>
        <v>74.900000000000006</v>
      </c>
      <c r="G969" s="389">
        <f>'пр.6.1.ведом.22-23 (2)'!H487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35">
        <f>F9+F230+F249+F314+F478+F741+F885+F951+F829+F8</f>
        <v>736280.60250000004</v>
      </c>
      <c r="G970" s="335">
        <f>G9+G230+G249+G314+G478+G741+G885+G951+G829+G8</f>
        <v>777267.39999999991</v>
      </c>
    </row>
    <row r="971" spans="1:7" ht="15.75" x14ac:dyDescent="0.25">
      <c r="F971" s="388">
        <f>'пр.6.1.ведом.22-23 (2)'!G1094</f>
        <v>736280.59999999986</v>
      </c>
      <c r="G971" s="388">
        <f>'пр.6.1.ведом.22-23 (2)'!H1094</f>
        <v>777267.39999999991</v>
      </c>
    </row>
    <row r="972" spans="1:7" ht="15.75" x14ac:dyDescent="0.25">
      <c r="F972" s="388">
        <f>F971-F970</f>
        <v>-2.5000001769512892E-3</v>
      </c>
      <c r="G972" s="388">
        <f>G971-G970</f>
        <v>0</v>
      </c>
    </row>
  </sheetData>
  <autoFilter ref="A7:G972"/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5"/>
  <sheetViews>
    <sheetView view="pageBreakPreview" zoomScale="80" zoomScaleNormal="100" zoomScaleSheetLayoutView="80" workbookViewId="0">
      <selection activeCell="K8" sqref="K8"/>
    </sheetView>
  </sheetViews>
  <sheetFormatPr defaultColWidth="9.140625" defaultRowHeight="15" x14ac:dyDescent="0.25"/>
  <cols>
    <col min="1" max="1" width="62.28515625" style="192" customWidth="1"/>
    <col min="2" max="2" width="7" style="192" customWidth="1"/>
    <col min="3" max="3" width="4.28515625" style="192" customWidth="1"/>
    <col min="4" max="4" width="4.85546875" style="192" customWidth="1"/>
    <col min="5" max="5" width="15.42578125" style="192" customWidth="1"/>
    <col min="6" max="6" width="5.7109375" style="192" customWidth="1"/>
    <col min="7" max="9" width="15" style="115" customWidth="1"/>
    <col min="10" max="10" width="21.85546875" style="414" customWidth="1"/>
    <col min="11" max="11" width="24.140625" style="1" customWidth="1"/>
    <col min="12" max="12" width="12.42578125" style="1" customWidth="1"/>
    <col min="13" max="13" width="10.5703125" style="1" customWidth="1"/>
    <col min="14" max="14" width="12.7109375" style="1" customWidth="1"/>
    <col min="15" max="15" width="16.42578125" style="1" customWidth="1"/>
    <col min="16" max="16" width="9.140625" style="1"/>
    <col min="17" max="17" width="10" style="1" customWidth="1"/>
    <col min="18" max="18" width="9.140625" style="1" customWidth="1"/>
    <col min="19" max="19" width="10.28515625" style="1" customWidth="1"/>
    <col min="20" max="20" width="9.140625" style="1" customWidth="1"/>
    <col min="21" max="27" width="9.140625" style="1"/>
    <col min="28" max="28" width="11.42578125" style="1" customWidth="1"/>
    <col min="29" max="30" width="9.140625" style="1"/>
    <col min="31" max="39" width="9.140625" style="192"/>
    <col min="40" max="41" width="9.140625" style="1"/>
    <col min="42" max="43" width="9.140625" style="192"/>
    <col min="44" max="44" width="9.140625" style="1"/>
    <col min="45" max="45" width="9.140625" style="192"/>
    <col min="46" max="46" width="9.140625" style="1"/>
    <col min="47" max="47" width="11.42578125" style="1" customWidth="1"/>
    <col min="48" max="16384" width="9.140625" style="1"/>
  </cols>
  <sheetData>
    <row r="1" spans="1:12" ht="15.75" x14ac:dyDescent="0.25">
      <c r="A1" s="63"/>
      <c r="B1" s="63"/>
      <c r="C1" s="63"/>
      <c r="D1" s="63"/>
      <c r="E1" s="472"/>
      <c r="G1" s="472" t="s">
        <v>1697</v>
      </c>
      <c r="H1" s="477"/>
      <c r="K1" s="192"/>
      <c r="L1" s="192"/>
    </row>
    <row r="2" spans="1:12" ht="15.75" x14ac:dyDescent="0.25">
      <c r="A2" s="63"/>
      <c r="B2" s="63"/>
      <c r="C2" s="63"/>
      <c r="D2" s="63"/>
      <c r="E2" s="472"/>
      <c r="G2" s="472" t="s">
        <v>1696</v>
      </c>
      <c r="H2" s="477"/>
      <c r="K2" s="192"/>
      <c r="L2" s="192"/>
    </row>
    <row r="3" spans="1:12" ht="15.75" x14ac:dyDescent="0.25">
      <c r="A3" s="130"/>
      <c r="B3" s="130"/>
      <c r="C3" s="130"/>
      <c r="D3" s="130"/>
      <c r="E3" s="472"/>
      <c r="G3" s="472" t="s">
        <v>1829</v>
      </c>
      <c r="H3" s="578"/>
      <c r="I3" s="578"/>
      <c r="K3" s="192"/>
      <c r="L3" s="192"/>
    </row>
    <row r="4" spans="1:12" s="192" customFormat="1" ht="15.75" x14ac:dyDescent="0.25">
      <c r="A4" s="467"/>
      <c r="B4" s="467"/>
      <c r="C4" s="467"/>
      <c r="D4" s="467"/>
      <c r="E4" s="467"/>
      <c r="F4" s="467"/>
      <c r="G4" s="474"/>
      <c r="H4" s="474"/>
      <c r="I4" s="468"/>
    </row>
    <row r="5" spans="1:12" ht="15.75" customHeight="1" x14ac:dyDescent="0.25">
      <c r="A5" s="556" t="s">
        <v>1816</v>
      </c>
      <c r="B5" s="556"/>
      <c r="C5" s="556"/>
      <c r="D5" s="556"/>
      <c r="E5" s="556"/>
      <c r="F5" s="556"/>
      <c r="G5" s="556"/>
      <c r="H5" s="556"/>
      <c r="I5" s="556"/>
      <c r="K5" s="192"/>
      <c r="L5" s="192"/>
    </row>
    <row r="6" spans="1:12" ht="15.75" x14ac:dyDescent="0.25">
      <c r="A6" s="466"/>
      <c r="B6" s="466"/>
      <c r="C6" s="466"/>
      <c r="D6" s="466"/>
      <c r="E6" s="466"/>
      <c r="F6" s="466"/>
      <c r="K6" s="192"/>
      <c r="L6" s="192"/>
    </row>
    <row r="7" spans="1:12" ht="15.75" x14ac:dyDescent="0.25">
      <c r="A7" s="13"/>
      <c r="B7" s="13"/>
      <c r="C7" s="13"/>
      <c r="D7" s="13"/>
      <c r="E7" s="13"/>
      <c r="F7" s="13"/>
      <c r="G7" s="250"/>
      <c r="H7" s="250"/>
      <c r="I7" s="250"/>
      <c r="K7" s="192"/>
      <c r="L7" s="192"/>
    </row>
    <row r="8" spans="1:12" ht="47.25" x14ac:dyDescent="0.25">
      <c r="A8" s="465" t="s">
        <v>110</v>
      </c>
      <c r="B8" s="465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36" t="s">
        <v>1703</v>
      </c>
      <c r="H8" s="336" t="s">
        <v>1705</v>
      </c>
      <c r="I8" s="336" t="s">
        <v>1704</v>
      </c>
      <c r="J8" s="413"/>
      <c r="K8" s="401"/>
      <c r="L8" s="192"/>
    </row>
    <row r="9" spans="1:12" ht="31.5" x14ac:dyDescent="0.25">
      <c r="A9" s="391" t="s">
        <v>116</v>
      </c>
      <c r="B9" s="391">
        <v>901</v>
      </c>
      <c r="C9" s="392"/>
      <c r="D9" s="392"/>
      <c r="E9" s="392"/>
      <c r="F9" s="392"/>
      <c r="G9" s="393">
        <f>G10</f>
        <v>14269.5816</v>
      </c>
      <c r="H9" s="393">
        <f t="shared" ref="H9" si="0">H10</f>
        <v>14024.224000000002</v>
      </c>
      <c r="I9" s="393">
        <f>H9/G9*100</f>
        <v>98.280555051452964</v>
      </c>
      <c r="J9" s="413"/>
      <c r="K9" s="401"/>
      <c r="L9" s="192"/>
    </row>
    <row r="10" spans="1:12" ht="15.75" x14ac:dyDescent="0.25">
      <c r="A10" s="394" t="s">
        <v>117</v>
      </c>
      <c r="B10" s="391">
        <v>901</v>
      </c>
      <c r="C10" s="395" t="s">
        <v>118</v>
      </c>
      <c r="D10" s="392"/>
      <c r="E10" s="392"/>
      <c r="F10" s="392"/>
      <c r="G10" s="393">
        <f>G11+G27</f>
        <v>14269.5816</v>
      </c>
      <c r="H10" s="393">
        <f t="shared" ref="H10" si="1">H11+H27</f>
        <v>14024.224000000002</v>
      </c>
      <c r="I10" s="393">
        <f t="shared" ref="I10:I73" si="2">H10/G10*100</f>
        <v>98.280555051452964</v>
      </c>
      <c r="J10" s="413"/>
      <c r="K10" s="401"/>
      <c r="L10" s="192"/>
    </row>
    <row r="11" spans="1:12" ht="47.25" x14ac:dyDescent="0.25">
      <c r="A11" s="394" t="s">
        <v>119</v>
      </c>
      <c r="B11" s="391">
        <v>901</v>
      </c>
      <c r="C11" s="395" t="s">
        <v>118</v>
      </c>
      <c r="D11" s="395" t="s">
        <v>120</v>
      </c>
      <c r="E11" s="395"/>
      <c r="F11" s="395"/>
      <c r="G11" s="393">
        <f>G12</f>
        <v>14219.5816</v>
      </c>
      <c r="H11" s="393">
        <f t="shared" ref="H11:H12" si="3">H12</f>
        <v>14024.224000000002</v>
      </c>
      <c r="I11" s="393">
        <f t="shared" si="2"/>
        <v>98.62613679153543</v>
      </c>
      <c r="J11" s="413"/>
      <c r="K11" s="401"/>
      <c r="L11" s="192"/>
    </row>
    <row r="12" spans="1:12" ht="31.5" x14ac:dyDescent="0.25">
      <c r="A12" s="394" t="s">
        <v>916</v>
      </c>
      <c r="B12" s="391">
        <v>901</v>
      </c>
      <c r="C12" s="395" t="s">
        <v>118</v>
      </c>
      <c r="D12" s="395" t="s">
        <v>120</v>
      </c>
      <c r="E12" s="395" t="s">
        <v>857</v>
      </c>
      <c r="F12" s="395"/>
      <c r="G12" s="393">
        <f>G13</f>
        <v>14219.5816</v>
      </c>
      <c r="H12" s="393">
        <f t="shared" si="3"/>
        <v>14024.224000000002</v>
      </c>
      <c r="I12" s="393">
        <f t="shared" si="2"/>
        <v>98.62613679153543</v>
      </c>
      <c r="J12" s="413"/>
      <c r="K12" s="401"/>
      <c r="L12" s="192"/>
    </row>
    <row r="13" spans="1:12" ht="15.75" x14ac:dyDescent="0.25">
      <c r="A13" s="394" t="s">
        <v>917</v>
      </c>
      <c r="B13" s="391">
        <v>901</v>
      </c>
      <c r="C13" s="395" t="s">
        <v>118</v>
      </c>
      <c r="D13" s="395" t="s">
        <v>120</v>
      </c>
      <c r="E13" s="395" t="s">
        <v>858</v>
      </c>
      <c r="F13" s="395"/>
      <c r="G13" s="393">
        <f>G14+G21+G24</f>
        <v>14219.5816</v>
      </c>
      <c r="H13" s="393">
        <f t="shared" ref="H13" si="4">H14+H21+H24</f>
        <v>14024.224000000002</v>
      </c>
      <c r="I13" s="393">
        <f t="shared" si="2"/>
        <v>98.62613679153543</v>
      </c>
      <c r="J13" s="413"/>
      <c r="K13" s="401"/>
      <c r="L13" s="192"/>
    </row>
    <row r="14" spans="1:12" ht="31.5" x14ac:dyDescent="0.25">
      <c r="A14" s="396" t="s">
        <v>896</v>
      </c>
      <c r="B14" s="390">
        <v>901</v>
      </c>
      <c r="C14" s="392" t="s">
        <v>118</v>
      </c>
      <c r="D14" s="392" t="s">
        <v>120</v>
      </c>
      <c r="E14" s="392" t="s">
        <v>859</v>
      </c>
      <c r="F14" s="392"/>
      <c r="G14" s="397">
        <f>G15+G17+G19</f>
        <v>13696.727999999999</v>
      </c>
      <c r="H14" s="397">
        <f t="shared" ref="H14" si="5">H15+H17+H19</f>
        <v>13501.371000000001</v>
      </c>
      <c r="I14" s="397">
        <f t="shared" si="2"/>
        <v>98.573695849110848</v>
      </c>
      <c r="J14" s="413"/>
      <c r="K14" s="401"/>
      <c r="L14" s="192"/>
    </row>
    <row r="15" spans="1:12" ht="63" x14ac:dyDescent="0.25">
      <c r="A15" s="396" t="s">
        <v>127</v>
      </c>
      <c r="B15" s="390">
        <v>901</v>
      </c>
      <c r="C15" s="392" t="s">
        <v>118</v>
      </c>
      <c r="D15" s="392" t="s">
        <v>120</v>
      </c>
      <c r="E15" s="392" t="s">
        <v>859</v>
      </c>
      <c r="F15" s="392" t="s">
        <v>128</v>
      </c>
      <c r="G15" s="397">
        <f>G16</f>
        <v>12577.627999999999</v>
      </c>
      <c r="H15" s="397">
        <f t="shared" ref="H15" si="6">H16</f>
        <v>12503.743</v>
      </c>
      <c r="I15" s="397">
        <f t="shared" si="2"/>
        <v>99.412568093125358</v>
      </c>
      <c r="J15" s="413"/>
      <c r="K15" s="401"/>
      <c r="L15" s="192"/>
    </row>
    <row r="16" spans="1:12" ht="31.5" x14ac:dyDescent="0.25">
      <c r="A16" s="396" t="s">
        <v>129</v>
      </c>
      <c r="B16" s="390">
        <v>901</v>
      </c>
      <c r="C16" s="392" t="s">
        <v>118</v>
      </c>
      <c r="D16" s="392" t="s">
        <v>120</v>
      </c>
      <c r="E16" s="392" t="s">
        <v>859</v>
      </c>
      <c r="F16" s="392" t="s">
        <v>130</v>
      </c>
      <c r="G16" s="27">
        <f>10929+384+384+384-2000+2000-8.4+48.728+900+1481.1-315.5-289.4-139.2-483.7-146.5-50-248.5-56.8+54.8-190-60</f>
        <v>12577.627999999999</v>
      </c>
      <c r="H16" s="27">
        <v>12503.743</v>
      </c>
      <c r="I16" s="397">
        <f t="shared" si="2"/>
        <v>99.412568093125358</v>
      </c>
      <c r="J16" s="413"/>
      <c r="K16" s="413"/>
      <c r="L16" s="192"/>
    </row>
    <row r="17" spans="1:12" ht="31.5" x14ac:dyDescent="0.25">
      <c r="A17" s="396" t="s">
        <v>131</v>
      </c>
      <c r="B17" s="390">
        <v>901</v>
      </c>
      <c r="C17" s="392" t="s">
        <v>118</v>
      </c>
      <c r="D17" s="392" t="s">
        <v>120</v>
      </c>
      <c r="E17" s="392" t="s">
        <v>859</v>
      </c>
      <c r="F17" s="392" t="s">
        <v>132</v>
      </c>
      <c r="G17" s="397">
        <f>G18</f>
        <v>1112.6799999999998</v>
      </c>
      <c r="H17" s="397">
        <f t="shared" ref="H17" si="7">H18</f>
        <v>996.21299999999997</v>
      </c>
      <c r="I17" s="397">
        <f t="shared" si="2"/>
        <v>89.532749757342643</v>
      </c>
      <c r="J17" s="413"/>
      <c r="K17" s="401"/>
      <c r="L17" s="192"/>
    </row>
    <row r="18" spans="1:12" ht="31.5" x14ac:dyDescent="0.25">
      <c r="A18" s="396" t="s">
        <v>133</v>
      </c>
      <c r="B18" s="390">
        <v>901</v>
      </c>
      <c r="C18" s="392" t="s">
        <v>118</v>
      </c>
      <c r="D18" s="392" t="s">
        <v>120</v>
      </c>
      <c r="E18" s="392" t="s">
        <v>859</v>
      </c>
      <c r="F18" s="392" t="s">
        <v>134</v>
      </c>
      <c r="G18" s="27">
        <f>977+3+80-15.9+1872.8-1481.1-38-12.25-24.3-317.15-25.159+93.739</f>
        <v>1112.6799999999998</v>
      </c>
      <c r="H18" s="27">
        <v>996.21299999999997</v>
      </c>
      <c r="I18" s="397">
        <f t="shared" si="2"/>
        <v>89.532749757342643</v>
      </c>
      <c r="J18" s="413"/>
      <c r="K18" s="401"/>
      <c r="L18" s="192"/>
    </row>
    <row r="19" spans="1:12" ht="15.75" x14ac:dyDescent="0.25">
      <c r="A19" s="396" t="s">
        <v>135</v>
      </c>
      <c r="B19" s="390">
        <v>901</v>
      </c>
      <c r="C19" s="392" t="s">
        <v>118</v>
      </c>
      <c r="D19" s="392" t="s">
        <v>120</v>
      </c>
      <c r="E19" s="392" t="s">
        <v>859</v>
      </c>
      <c r="F19" s="392" t="s">
        <v>136</v>
      </c>
      <c r="G19" s="397">
        <f>G20</f>
        <v>6.4200000000000017</v>
      </c>
      <c r="H19" s="397">
        <f t="shared" ref="H19" si="8">H20</f>
        <v>1.415</v>
      </c>
      <c r="I19" s="397">
        <f t="shared" si="2"/>
        <v>22.040498442367596</v>
      </c>
      <c r="J19" s="413"/>
      <c r="K19" s="401"/>
      <c r="L19" s="192"/>
    </row>
    <row r="20" spans="1:12" ht="15.75" x14ac:dyDescent="0.25">
      <c r="A20" s="396" t="s">
        <v>568</v>
      </c>
      <c r="B20" s="390">
        <v>901</v>
      </c>
      <c r="C20" s="392" t="s">
        <v>118</v>
      </c>
      <c r="D20" s="392" t="s">
        <v>120</v>
      </c>
      <c r="E20" s="392" t="s">
        <v>859</v>
      </c>
      <c r="F20" s="392" t="s">
        <v>138</v>
      </c>
      <c r="G20" s="397">
        <f>28-3-18.58</f>
        <v>6.4200000000000017</v>
      </c>
      <c r="H20" s="397">
        <v>1.415</v>
      </c>
      <c r="I20" s="397">
        <f t="shared" si="2"/>
        <v>22.040498442367596</v>
      </c>
      <c r="J20" s="413"/>
      <c r="K20" s="401"/>
      <c r="L20" s="192"/>
    </row>
    <row r="21" spans="1:12" s="192" customFormat="1" ht="31.5" x14ac:dyDescent="0.25">
      <c r="A21" s="396" t="s">
        <v>838</v>
      </c>
      <c r="B21" s="390">
        <v>901</v>
      </c>
      <c r="C21" s="392" t="s">
        <v>118</v>
      </c>
      <c r="D21" s="392" t="s">
        <v>120</v>
      </c>
      <c r="E21" s="392" t="s">
        <v>861</v>
      </c>
      <c r="F21" s="392"/>
      <c r="G21" s="397">
        <f>G22</f>
        <v>267.572</v>
      </c>
      <c r="H21" s="397">
        <f t="shared" ref="H21:H22" si="9">H22</f>
        <v>267.572</v>
      </c>
      <c r="I21" s="397">
        <f t="shared" si="2"/>
        <v>100</v>
      </c>
      <c r="J21" s="413"/>
      <c r="K21" s="401"/>
    </row>
    <row r="22" spans="1:12" s="192" customFormat="1" ht="63" x14ac:dyDescent="0.25">
      <c r="A22" s="396" t="s">
        <v>127</v>
      </c>
      <c r="B22" s="390">
        <v>901</v>
      </c>
      <c r="C22" s="392" t="s">
        <v>118</v>
      </c>
      <c r="D22" s="392" t="s">
        <v>120</v>
      </c>
      <c r="E22" s="392" t="s">
        <v>861</v>
      </c>
      <c r="F22" s="392" t="s">
        <v>128</v>
      </c>
      <c r="G22" s="397">
        <f>G23</f>
        <v>267.572</v>
      </c>
      <c r="H22" s="397">
        <f t="shared" si="9"/>
        <v>267.572</v>
      </c>
      <c r="I22" s="397">
        <f t="shared" si="2"/>
        <v>100</v>
      </c>
      <c r="J22" s="413"/>
      <c r="K22" s="401"/>
    </row>
    <row r="23" spans="1:12" s="192" customFormat="1" ht="31.5" x14ac:dyDescent="0.25">
      <c r="A23" s="396" t="s">
        <v>129</v>
      </c>
      <c r="B23" s="390">
        <v>901</v>
      </c>
      <c r="C23" s="392" t="s">
        <v>118</v>
      </c>
      <c r="D23" s="392" t="s">
        <v>120</v>
      </c>
      <c r="E23" s="392" t="s">
        <v>861</v>
      </c>
      <c r="F23" s="392" t="s">
        <v>130</v>
      </c>
      <c r="G23" s="397">
        <f>420-128-24.428</f>
        <v>267.572</v>
      </c>
      <c r="H23" s="397">
        <v>267.572</v>
      </c>
      <c r="I23" s="397">
        <f t="shared" si="2"/>
        <v>100</v>
      </c>
      <c r="J23" s="413"/>
      <c r="K23" s="401"/>
    </row>
    <row r="24" spans="1:12" s="192" customFormat="1" ht="31.5" x14ac:dyDescent="0.25">
      <c r="A24" s="396" t="s">
        <v>1677</v>
      </c>
      <c r="B24" s="390">
        <v>901</v>
      </c>
      <c r="C24" s="392" t="s">
        <v>118</v>
      </c>
      <c r="D24" s="392" t="s">
        <v>120</v>
      </c>
      <c r="E24" s="392" t="s">
        <v>1678</v>
      </c>
      <c r="F24" s="392"/>
      <c r="G24" s="397">
        <f>G25</f>
        <v>255.2816</v>
      </c>
      <c r="H24" s="397">
        <f t="shared" ref="H24:H25" si="10">H25</f>
        <v>255.28100000000001</v>
      </c>
      <c r="I24" s="397">
        <f t="shared" si="2"/>
        <v>99.999764965434252</v>
      </c>
      <c r="J24" s="413"/>
      <c r="K24" s="401"/>
    </row>
    <row r="25" spans="1:12" s="192" customFormat="1" ht="63" x14ac:dyDescent="0.25">
      <c r="A25" s="396" t="s">
        <v>127</v>
      </c>
      <c r="B25" s="390">
        <v>901</v>
      </c>
      <c r="C25" s="392" t="s">
        <v>118</v>
      </c>
      <c r="D25" s="392" t="s">
        <v>120</v>
      </c>
      <c r="E25" s="392" t="s">
        <v>1678</v>
      </c>
      <c r="F25" s="392" t="s">
        <v>128</v>
      </c>
      <c r="G25" s="397">
        <f>G26</f>
        <v>255.2816</v>
      </c>
      <c r="H25" s="397">
        <f t="shared" si="10"/>
        <v>255.28100000000001</v>
      </c>
      <c r="I25" s="397">
        <f t="shared" si="2"/>
        <v>99.999764965434252</v>
      </c>
      <c r="J25" s="413"/>
      <c r="K25" s="401"/>
    </row>
    <row r="26" spans="1:12" s="192" customFormat="1" ht="31.5" x14ac:dyDescent="0.25">
      <c r="A26" s="396" t="s">
        <v>129</v>
      </c>
      <c r="B26" s="390">
        <v>901</v>
      </c>
      <c r="C26" s="392" t="s">
        <v>118</v>
      </c>
      <c r="D26" s="392" t="s">
        <v>120</v>
      </c>
      <c r="E26" s="392" t="s">
        <v>1678</v>
      </c>
      <c r="F26" s="392" t="s">
        <v>130</v>
      </c>
      <c r="G26" s="397">
        <v>255.2816</v>
      </c>
      <c r="H26" s="397">
        <v>255.28100000000001</v>
      </c>
      <c r="I26" s="397">
        <f t="shared" si="2"/>
        <v>99.999764965434252</v>
      </c>
      <c r="J26" s="413"/>
      <c r="K26" s="401"/>
    </row>
    <row r="27" spans="1:12" s="192" customFormat="1" ht="15.75" x14ac:dyDescent="0.25">
      <c r="A27" s="481" t="s">
        <v>1399</v>
      </c>
      <c r="B27" s="482">
        <v>901</v>
      </c>
      <c r="C27" s="483" t="s">
        <v>118</v>
      </c>
      <c r="D27" s="483" t="s">
        <v>491</v>
      </c>
      <c r="E27" s="483"/>
      <c r="F27" s="395"/>
      <c r="G27" s="393">
        <f>G28</f>
        <v>50</v>
      </c>
      <c r="H27" s="393">
        <f t="shared" ref="H27:H31" si="11">H28</f>
        <v>0</v>
      </c>
      <c r="I27" s="393">
        <f t="shared" si="2"/>
        <v>0</v>
      </c>
      <c r="J27" s="413"/>
      <c r="K27" s="401"/>
    </row>
    <row r="28" spans="1:12" s="192" customFormat="1" ht="15.75" x14ac:dyDescent="0.25">
      <c r="A28" s="394" t="s">
        <v>141</v>
      </c>
      <c r="B28" s="391">
        <v>901</v>
      </c>
      <c r="C28" s="395" t="s">
        <v>118</v>
      </c>
      <c r="D28" s="395" t="s">
        <v>491</v>
      </c>
      <c r="E28" s="395" t="s">
        <v>865</v>
      </c>
      <c r="F28" s="395"/>
      <c r="G28" s="393">
        <f>G29</f>
        <v>50</v>
      </c>
      <c r="H28" s="393">
        <f t="shared" si="11"/>
        <v>0</v>
      </c>
      <c r="I28" s="393">
        <f t="shared" si="2"/>
        <v>0</v>
      </c>
      <c r="J28" s="413"/>
      <c r="K28" s="401"/>
    </row>
    <row r="29" spans="1:12" s="192" customFormat="1" ht="31.5" x14ac:dyDescent="0.25">
      <c r="A29" s="394" t="s">
        <v>869</v>
      </c>
      <c r="B29" s="391">
        <v>901</v>
      </c>
      <c r="C29" s="395" t="s">
        <v>118</v>
      </c>
      <c r="D29" s="395" t="s">
        <v>491</v>
      </c>
      <c r="E29" s="395" t="s">
        <v>864</v>
      </c>
      <c r="F29" s="395"/>
      <c r="G29" s="393">
        <f>G30</f>
        <v>50</v>
      </c>
      <c r="H29" s="393">
        <f t="shared" si="11"/>
        <v>0</v>
      </c>
      <c r="I29" s="393">
        <f t="shared" si="2"/>
        <v>0</v>
      </c>
      <c r="J29" s="413"/>
      <c r="K29" s="401"/>
    </row>
    <row r="30" spans="1:12" s="192" customFormat="1" ht="15.75" x14ac:dyDescent="0.25">
      <c r="A30" s="396" t="s">
        <v>1135</v>
      </c>
      <c r="B30" s="390">
        <v>901</v>
      </c>
      <c r="C30" s="392" t="s">
        <v>118</v>
      </c>
      <c r="D30" s="392" t="s">
        <v>491</v>
      </c>
      <c r="E30" s="392" t="s">
        <v>1136</v>
      </c>
      <c r="F30" s="392"/>
      <c r="G30" s="397">
        <f>G31</f>
        <v>50</v>
      </c>
      <c r="H30" s="397">
        <f t="shared" si="11"/>
        <v>0</v>
      </c>
      <c r="I30" s="397">
        <f t="shared" si="2"/>
        <v>0</v>
      </c>
      <c r="J30" s="413"/>
      <c r="K30" s="401"/>
    </row>
    <row r="31" spans="1:12" s="192" customFormat="1" ht="15.75" x14ac:dyDescent="0.25">
      <c r="A31" s="396" t="s">
        <v>135</v>
      </c>
      <c r="B31" s="390">
        <v>901</v>
      </c>
      <c r="C31" s="392" t="s">
        <v>118</v>
      </c>
      <c r="D31" s="392" t="s">
        <v>491</v>
      </c>
      <c r="E31" s="392" t="s">
        <v>1136</v>
      </c>
      <c r="F31" s="392" t="s">
        <v>145</v>
      </c>
      <c r="G31" s="397">
        <f>G32</f>
        <v>50</v>
      </c>
      <c r="H31" s="397">
        <f t="shared" si="11"/>
        <v>0</v>
      </c>
      <c r="I31" s="397">
        <f t="shared" si="2"/>
        <v>0</v>
      </c>
      <c r="J31" s="413"/>
      <c r="K31" s="401"/>
    </row>
    <row r="32" spans="1:12" s="192" customFormat="1" ht="15.75" x14ac:dyDescent="0.25">
      <c r="A32" s="396" t="s">
        <v>1135</v>
      </c>
      <c r="B32" s="390">
        <v>901</v>
      </c>
      <c r="C32" s="392" t="s">
        <v>118</v>
      </c>
      <c r="D32" s="392" t="s">
        <v>491</v>
      </c>
      <c r="E32" s="392" t="s">
        <v>1136</v>
      </c>
      <c r="F32" s="392" t="s">
        <v>1137</v>
      </c>
      <c r="G32" s="397">
        <v>50</v>
      </c>
      <c r="H32" s="397">
        <v>0</v>
      </c>
      <c r="I32" s="397">
        <f t="shared" si="2"/>
        <v>0</v>
      </c>
      <c r="J32" s="413"/>
      <c r="K32" s="401"/>
    </row>
    <row r="33" spans="1:12" ht="15.75" x14ac:dyDescent="0.25">
      <c r="A33" s="391" t="s">
        <v>148</v>
      </c>
      <c r="B33" s="391">
        <v>902</v>
      </c>
      <c r="C33" s="392"/>
      <c r="D33" s="392"/>
      <c r="E33" s="392"/>
      <c r="F33" s="392"/>
      <c r="G33" s="393">
        <f>G34+G182+G214+G238+G175</f>
        <v>97468.780089999986</v>
      </c>
      <c r="H33" s="393">
        <f t="shared" ref="H33" si="12">H34+H182+H214+H238+H175</f>
        <v>95109.069000000003</v>
      </c>
      <c r="I33" s="393">
        <f t="shared" si="2"/>
        <v>97.579008285708412</v>
      </c>
      <c r="J33" s="413"/>
      <c r="K33" s="401"/>
      <c r="L33" s="214"/>
    </row>
    <row r="34" spans="1:12" ht="15.75" x14ac:dyDescent="0.25">
      <c r="A34" s="394" t="s">
        <v>117</v>
      </c>
      <c r="B34" s="391">
        <v>902</v>
      </c>
      <c r="C34" s="395" t="s">
        <v>118</v>
      </c>
      <c r="D34" s="392"/>
      <c r="E34" s="392"/>
      <c r="F34" s="392"/>
      <c r="G34" s="393">
        <f>G54+G118+G138+G127+G35</f>
        <v>74981.242180000001</v>
      </c>
      <c r="H34" s="393">
        <f t="shared" ref="H34" si="13">H54+H118+H138+H127+H35</f>
        <v>73324.161000000007</v>
      </c>
      <c r="I34" s="393">
        <f t="shared" si="2"/>
        <v>97.790005697662352</v>
      </c>
      <c r="J34" s="413"/>
      <c r="K34" s="401"/>
      <c r="L34" s="192"/>
    </row>
    <row r="35" spans="1:12" s="192" customFormat="1" ht="31.9" customHeight="1" x14ac:dyDescent="0.25">
      <c r="A35" s="394" t="s">
        <v>575</v>
      </c>
      <c r="B35" s="391">
        <v>902</v>
      </c>
      <c r="C35" s="395" t="s">
        <v>118</v>
      </c>
      <c r="D35" s="395" t="s">
        <v>213</v>
      </c>
      <c r="E35" s="392"/>
      <c r="F35" s="392"/>
      <c r="G35" s="393">
        <f>G36</f>
        <v>5241.54</v>
      </c>
      <c r="H35" s="393">
        <f t="shared" ref="H35" si="14">H36</f>
        <v>5172.8679999999995</v>
      </c>
      <c r="I35" s="393">
        <f t="shared" si="2"/>
        <v>98.689850692735334</v>
      </c>
      <c r="J35" s="413"/>
      <c r="K35" s="401"/>
    </row>
    <row r="36" spans="1:12" s="192" customFormat="1" ht="31.5" x14ac:dyDescent="0.25">
      <c r="A36" s="394" t="s">
        <v>916</v>
      </c>
      <c r="B36" s="391">
        <v>902</v>
      </c>
      <c r="C36" s="395" t="s">
        <v>118</v>
      </c>
      <c r="D36" s="395" t="s">
        <v>213</v>
      </c>
      <c r="E36" s="395" t="s">
        <v>857</v>
      </c>
      <c r="F36" s="392"/>
      <c r="G36" s="393">
        <f>G37+G49</f>
        <v>5241.54</v>
      </c>
      <c r="H36" s="393">
        <f t="shared" ref="H36" si="15">H37+H49</f>
        <v>5172.8679999999995</v>
      </c>
      <c r="I36" s="393">
        <f t="shared" si="2"/>
        <v>98.689850692735334</v>
      </c>
      <c r="J36" s="413"/>
      <c r="K36" s="401"/>
    </row>
    <row r="37" spans="1:12" s="192" customFormat="1" ht="15.75" x14ac:dyDescent="0.25">
      <c r="A37" s="394" t="s">
        <v>917</v>
      </c>
      <c r="B37" s="391">
        <v>902</v>
      </c>
      <c r="C37" s="395" t="s">
        <v>118</v>
      </c>
      <c r="D37" s="395" t="s">
        <v>213</v>
      </c>
      <c r="E37" s="395" t="s">
        <v>858</v>
      </c>
      <c r="F37" s="392"/>
      <c r="G37" s="393">
        <f>G38+G43+G46</f>
        <v>5239.8999999999996</v>
      </c>
      <c r="H37" s="393">
        <f t="shared" ref="H37" si="16">H38+H43+H46</f>
        <v>5172.8679999999995</v>
      </c>
      <c r="I37" s="393">
        <f t="shared" si="2"/>
        <v>98.720738945399717</v>
      </c>
      <c r="J37" s="413"/>
      <c r="K37" s="401"/>
    </row>
    <row r="38" spans="1:12" s="192" customFormat="1" ht="31.5" x14ac:dyDescent="0.25">
      <c r="A38" s="396" t="s">
        <v>576</v>
      </c>
      <c r="B38" s="390">
        <v>902</v>
      </c>
      <c r="C38" s="392" t="s">
        <v>118</v>
      </c>
      <c r="D38" s="392" t="s">
        <v>213</v>
      </c>
      <c r="E38" s="392" t="s">
        <v>1328</v>
      </c>
      <c r="F38" s="392"/>
      <c r="G38" s="397">
        <f>G39+G41</f>
        <v>5239.8999999999996</v>
      </c>
      <c r="H38" s="397">
        <f t="shared" ref="H38" si="17">H39+H41</f>
        <v>5172.8679999999995</v>
      </c>
      <c r="I38" s="397">
        <f t="shared" si="2"/>
        <v>98.720738945399717</v>
      </c>
      <c r="J38" s="413"/>
      <c r="K38" s="401"/>
    </row>
    <row r="39" spans="1:12" s="192" customFormat="1" ht="63" x14ac:dyDescent="0.25">
      <c r="A39" s="396" t="s">
        <v>127</v>
      </c>
      <c r="B39" s="390">
        <v>902</v>
      </c>
      <c r="C39" s="392" t="s">
        <v>118</v>
      </c>
      <c r="D39" s="392" t="s">
        <v>213</v>
      </c>
      <c r="E39" s="392" t="s">
        <v>1328</v>
      </c>
      <c r="F39" s="392" t="s">
        <v>128</v>
      </c>
      <c r="G39" s="397">
        <f>G40</f>
        <v>5212.2</v>
      </c>
      <c r="H39" s="397">
        <f t="shared" ref="H39" si="18">H40</f>
        <v>5145.1679999999997</v>
      </c>
      <c r="I39" s="397">
        <f t="shared" si="2"/>
        <v>98.713940370668823</v>
      </c>
      <c r="J39" s="413"/>
      <c r="K39" s="401"/>
    </row>
    <row r="40" spans="1:12" s="192" customFormat="1" ht="31.5" x14ac:dyDescent="0.25">
      <c r="A40" s="396" t="s">
        <v>129</v>
      </c>
      <c r="B40" s="390">
        <v>902</v>
      </c>
      <c r="C40" s="392" t="s">
        <v>118</v>
      </c>
      <c r="D40" s="392" t="s">
        <v>213</v>
      </c>
      <c r="E40" s="392" t="s">
        <v>1328</v>
      </c>
      <c r="F40" s="392" t="s">
        <v>130</v>
      </c>
      <c r="G40" s="27">
        <f>4736.9-15-25-26.9-15+457.2+100</f>
        <v>5212.2</v>
      </c>
      <c r="H40" s="27">
        <v>5145.1679999999997</v>
      </c>
      <c r="I40" s="397">
        <f t="shared" si="2"/>
        <v>98.713940370668823</v>
      </c>
      <c r="J40" s="413"/>
      <c r="K40" s="401"/>
      <c r="L40" s="424"/>
    </row>
    <row r="41" spans="1:12" s="192" customFormat="1" ht="31.5" x14ac:dyDescent="0.25">
      <c r="A41" s="396" t="s">
        <v>198</v>
      </c>
      <c r="B41" s="390">
        <v>902</v>
      </c>
      <c r="C41" s="392" t="s">
        <v>118</v>
      </c>
      <c r="D41" s="392" t="s">
        <v>213</v>
      </c>
      <c r="E41" s="392" t="s">
        <v>1328</v>
      </c>
      <c r="F41" s="392" t="s">
        <v>132</v>
      </c>
      <c r="G41" s="397">
        <f>G42</f>
        <v>27.700000000000003</v>
      </c>
      <c r="H41" s="397">
        <f t="shared" ref="H41" si="19">H42</f>
        <v>27.7</v>
      </c>
      <c r="I41" s="397">
        <f t="shared" si="2"/>
        <v>99.999999999999986</v>
      </c>
      <c r="J41" s="413"/>
      <c r="K41" s="401"/>
    </row>
    <row r="42" spans="1:12" s="192" customFormat="1" ht="31.5" x14ac:dyDescent="0.25">
      <c r="A42" s="396" t="s">
        <v>133</v>
      </c>
      <c r="B42" s="390">
        <v>902</v>
      </c>
      <c r="C42" s="392" t="s">
        <v>118</v>
      </c>
      <c r="D42" s="392" t="s">
        <v>213</v>
      </c>
      <c r="E42" s="392" t="s">
        <v>1328</v>
      </c>
      <c r="F42" s="392" t="s">
        <v>134</v>
      </c>
      <c r="G42" s="397">
        <f>90-62.3</f>
        <v>27.700000000000003</v>
      </c>
      <c r="H42" s="397">
        <v>27.7</v>
      </c>
      <c r="I42" s="397">
        <f t="shared" si="2"/>
        <v>99.999999999999986</v>
      </c>
      <c r="J42" s="413"/>
      <c r="K42" s="401"/>
    </row>
    <row r="43" spans="1:12" s="192" customFormat="1" ht="31.5" hidden="1" x14ac:dyDescent="0.25">
      <c r="A43" s="396" t="s">
        <v>838</v>
      </c>
      <c r="B43" s="390">
        <v>902</v>
      </c>
      <c r="C43" s="392" t="s">
        <v>118</v>
      </c>
      <c r="D43" s="392" t="s">
        <v>213</v>
      </c>
      <c r="E43" s="392" t="s">
        <v>861</v>
      </c>
      <c r="F43" s="392"/>
      <c r="G43" s="397">
        <f>G44</f>
        <v>0</v>
      </c>
      <c r="H43" s="397">
        <f t="shared" ref="H43:H44" si="20">H44</f>
        <v>0</v>
      </c>
      <c r="I43" s="397" t="e">
        <f t="shared" si="2"/>
        <v>#DIV/0!</v>
      </c>
      <c r="J43" s="413"/>
      <c r="K43" s="401"/>
    </row>
    <row r="44" spans="1:12" s="192" customFormat="1" ht="63" hidden="1" x14ac:dyDescent="0.25">
      <c r="A44" s="396" t="s">
        <v>127</v>
      </c>
      <c r="B44" s="390">
        <v>902</v>
      </c>
      <c r="C44" s="392" t="s">
        <v>118</v>
      </c>
      <c r="D44" s="392" t="s">
        <v>213</v>
      </c>
      <c r="E44" s="392" t="s">
        <v>861</v>
      </c>
      <c r="F44" s="392" t="s">
        <v>128</v>
      </c>
      <c r="G44" s="397">
        <f>G45</f>
        <v>0</v>
      </c>
      <c r="H44" s="397">
        <f t="shared" si="20"/>
        <v>0</v>
      </c>
      <c r="I44" s="397" t="e">
        <f t="shared" si="2"/>
        <v>#DIV/0!</v>
      </c>
      <c r="J44" s="413"/>
      <c r="K44" s="401"/>
    </row>
    <row r="45" spans="1:12" s="192" customFormat="1" ht="31.5" hidden="1" x14ac:dyDescent="0.25">
      <c r="A45" s="396" t="s">
        <v>129</v>
      </c>
      <c r="B45" s="390">
        <v>902</v>
      </c>
      <c r="C45" s="392" t="s">
        <v>118</v>
      </c>
      <c r="D45" s="392" t="s">
        <v>213</v>
      </c>
      <c r="E45" s="392" t="s">
        <v>861</v>
      </c>
      <c r="F45" s="392" t="s">
        <v>130</v>
      </c>
      <c r="G45" s="397">
        <f>42-42</f>
        <v>0</v>
      </c>
      <c r="H45" s="397">
        <f t="shared" ref="H45" si="21">42-42</f>
        <v>0</v>
      </c>
      <c r="I45" s="397" t="e">
        <f t="shared" si="2"/>
        <v>#DIV/0!</v>
      </c>
      <c r="J45" s="413"/>
      <c r="K45" s="401"/>
    </row>
    <row r="46" spans="1:12" s="192" customFormat="1" ht="31.5" hidden="1" x14ac:dyDescent="0.25">
      <c r="A46" s="396" t="s">
        <v>1677</v>
      </c>
      <c r="B46" s="390">
        <v>902</v>
      </c>
      <c r="C46" s="392" t="s">
        <v>118</v>
      </c>
      <c r="D46" s="392" t="s">
        <v>213</v>
      </c>
      <c r="E46" s="392" t="s">
        <v>1678</v>
      </c>
      <c r="F46" s="392"/>
      <c r="G46" s="397">
        <f>G47</f>
        <v>0</v>
      </c>
      <c r="H46" s="397">
        <f t="shared" ref="H46:H47" si="22">H47</f>
        <v>0</v>
      </c>
      <c r="I46" s="397" t="e">
        <f t="shared" si="2"/>
        <v>#DIV/0!</v>
      </c>
      <c r="J46" s="413"/>
      <c r="K46" s="401"/>
    </row>
    <row r="47" spans="1:12" s="192" customFormat="1" ht="63" hidden="1" x14ac:dyDescent="0.25">
      <c r="A47" s="396" t="s">
        <v>127</v>
      </c>
      <c r="B47" s="390">
        <v>902</v>
      </c>
      <c r="C47" s="392" t="s">
        <v>118</v>
      </c>
      <c r="D47" s="392" t="s">
        <v>213</v>
      </c>
      <c r="E47" s="392" t="s">
        <v>1678</v>
      </c>
      <c r="F47" s="392" t="s">
        <v>128</v>
      </c>
      <c r="G47" s="397">
        <f>G48</f>
        <v>0</v>
      </c>
      <c r="H47" s="397">
        <f t="shared" si="22"/>
        <v>0</v>
      </c>
      <c r="I47" s="397" t="e">
        <f t="shared" si="2"/>
        <v>#DIV/0!</v>
      </c>
      <c r="J47" s="413"/>
      <c r="K47" s="401"/>
    </row>
    <row r="48" spans="1:12" s="192" customFormat="1" ht="31.5" hidden="1" x14ac:dyDescent="0.25">
      <c r="A48" s="396" t="s">
        <v>129</v>
      </c>
      <c r="B48" s="390">
        <v>902</v>
      </c>
      <c r="C48" s="392" t="s">
        <v>118</v>
      </c>
      <c r="D48" s="392" t="s">
        <v>213</v>
      </c>
      <c r="E48" s="392" t="s">
        <v>1678</v>
      </c>
      <c r="F48" s="392" t="s">
        <v>130</v>
      </c>
      <c r="G48" s="397">
        <f>266.1337-266.1337</f>
        <v>0</v>
      </c>
      <c r="H48" s="397">
        <f t="shared" ref="H48" si="23">266.1337-266.1337</f>
        <v>0</v>
      </c>
      <c r="I48" s="397" t="e">
        <f t="shared" si="2"/>
        <v>#DIV/0!</v>
      </c>
      <c r="J48" s="413"/>
      <c r="K48" s="401"/>
    </row>
    <row r="49" spans="1:12" s="192" customFormat="1" ht="31.5" x14ac:dyDescent="0.25">
      <c r="A49" s="481" t="s">
        <v>1337</v>
      </c>
      <c r="B49" s="482">
        <v>902</v>
      </c>
      <c r="C49" s="483" t="s">
        <v>118</v>
      </c>
      <c r="D49" s="483" t="s">
        <v>213</v>
      </c>
      <c r="E49" s="483" t="s">
        <v>162</v>
      </c>
      <c r="F49" s="395"/>
      <c r="G49" s="393">
        <f>G50</f>
        <v>1.6400000000000006</v>
      </c>
      <c r="H49" s="393">
        <f t="shared" ref="H49:H52" si="24">H50</f>
        <v>0</v>
      </c>
      <c r="I49" s="393">
        <f t="shared" si="2"/>
        <v>0</v>
      </c>
      <c r="J49" s="413"/>
      <c r="K49" s="401"/>
    </row>
    <row r="50" spans="1:12" s="192" customFormat="1" ht="63" x14ac:dyDescent="0.25">
      <c r="A50" s="200" t="s">
        <v>1339</v>
      </c>
      <c r="B50" s="252">
        <v>902</v>
      </c>
      <c r="C50" s="395" t="s">
        <v>118</v>
      </c>
      <c r="D50" s="395" t="s">
        <v>213</v>
      </c>
      <c r="E50" s="7" t="s">
        <v>849</v>
      </c>
      <c r="F50" s="395"/>
      <c r="G50" s="393">
        <f>G51</f>
        <v>1.6400000000000006</v>
      </c>
      <c r="H50" s="393">
        <f t="shared" si="24"/>
        <v>0</v>
      </c>
      <c r="I50" s="393">
        <f t="shared" si="2"/>
        <v>0</v>
      </c>
      <c r="J50" s="413"/>
      <c r="K50" s="401"/>
    </row>
    <row r="51" spans="1:12" s="192" customFormat="1" ht="59.1" customHeight="1" x14ac:dyDescent="0.25">
      <c r="A51" s="31" t="s">
        <v>695</v>
      </c>
      <c r="B51" s="390">
        <v>902</v>
      </c>
      <c r="C51" s="392" t="s">
        <v>118</v>
      </c>
      <c r="D51" s="392" t="s">
        <v>213</v>
      </c>
      <c r="E51" s="399" t="s">
        <v>992</v>
      </c>
      <c r="F51" s="392"/>
      <c r="G51" s="397">
        <f>G52</f>
        <v>1.6400000000000006</v>
      </c>
      <c r="H51" s="397">
        <f t="shared" si="24"/>
        <v>0</v>
      </c>
      <c r="I51" s="397">
        <f t="shared" si="2"/>
        <v>0</v>
      </c>
      <c r="J51" s="413"/>
      <c r="K51" s="401"/>
    </row>
    <row r="52" spans="1:12" s="192" customFormat="1" ht="31.5" x14ac:dyDescent="0.25">
      <c r="A52" s="396" t="s">
        <v>131</v>
      </c>
      <c r="B52" s="390">
        <v>902</v>
      </c>
      <c r="C52" s="392" t="s">
        <v>118</v>
      </c>
      <c r="D52" s="392" t="s">
        <v>213</v>
      </c>
      <c r="E52" s="399" t="s">
        <v>992</v>
      </c>
      <c r="F52" s="392" t="s">
        <v>132</v>
      </c>
      <c r="G52" s="397">
        <f>G53</f>
        <v>1.6400000000000006</v>
      </c>
      <c r="H52" s="397">
        <f t="shared" si="24"/>
        <v>0</v>
      </c>
      <c r="I52" s="397">
        <f t="shared" si="2"/>
        <v>0</v>
      </c>
      <c r="J52" s="413"/>
      <c r="K52" s="401"/>
    </row>
    <row r="53" spans="1:12" s="192" customFormat="1" ht="31.5" x14ac:dyDescent="0.25">
      <c r="A53" s="396" t="s">
        <v>133</v>
      </c>
      <c r="B53" s="390">
        <v>902</v>
      </c>
      <c r="C53" s="392" t="s">
        <v>118</v>
      </c>
      <c r="D53" s="392" t="s">
        <v>213</v>
      </c>
      <c r="E53" s="399" t="s">
        <v>992</v>
      </c>
      <c r="F53" s="392" t="s">
        <v>134</v>
      </c>
      <c r="G53" s="397">
        <f>0.5+40+1.14-40</f>
        <v>1.6400000000000006</v>
      </c>
      <c r="H53" s="397">
        <v>0</v>
      </c>
      <c r="I53" s="397">
        <f t="shared" si="2"/>
        <v>0</v>
      </c>
      <c r="J53" s="413"/>
      <c r="K53" s="401"/>
    </row>
    <row r="54" spans="1:12" ht="46.15" customHeight="1" x14ac:dyDescent="0.25">
      <c r="A54" s="394" t="s">
        <v>149</v>
      </c>
      <c r="B54" s="391">
        <v>902</v>
      </c>
      <c r="C54" s="395" t="s">
        <v>118</v>
      </c>
      <c r="D54" s="395" t="s">
        <v>150</v>
      </c>
      <c r="E54" s="395"/>
      <c r="F54" s="395"/>
      <c r="G54" s="393">
        <f>G55+G97</f>
        <v>56748.126650000006</v>
      </c>
      <c r="H54" s="393">
        <f t="shared" ref="H54" si="25">H55+H97</f>
        <v>55248.480000000003</v>
      </c>
      <c r="I54" s="393">
        <f t="shared" si="2"/>
        <v>97.357363602063501</v>
      </c>
      <c r="J54" s="413"/>
      <c r="K54" s="401"/>
      <c r="L54" s="192"/>
    </row>
    <row r="55" spans="1:12" ht="31.5" x14ac:dyDescent="0.25">
      <c r="A55" s="394" t="s">
        <v>916</v>
      </c>
      <c r="B55" s="391">
        <v>902</v>
      </c>
      <c r="C55" s="395" t="s">
        <v>118</v>
      </c>
      <c r="D55" s="395" t="s">
        <v>150</v>
      </c>
      <c r="E55" s="395" t="s">
        <v>857</v>
      </c>
      <c r="F55" s="395"/>
      <c r="G55" s="44">
        <f>G56+G75</f>
        <v>56125.226650000004</v>
      </c>
      <c r="H55" s="44">
        <f t="shared" ref="H55" si="26">H56+H75</f>
        <v>54626.338000000003</v>
      </c>
      <c r="I55" s="393">
        <f t="shared" si="2"/>
        <v>97.329385127748083</v>
      </c>
      <c r="J55" s="413"/>
      <c r="K55" s="401"/>
      <c r="L55" s="192"/>
    </row>
    <row r="56" spans="1:12" s="192" customFormat="1" ht="15.75" x14ac:dyDescent="0.25">
      <c r="A56" s="394" t="s">
        <v>917</v>
      </c>
      <c r="B56" s="391">
        <v>902</v>
      </c>
      <c r="C56" s="395" t="s">
        <v>118</v>
      </c>
      <c r="D56" s="395" t="s">
        <v>150</v>
      </c>
      <c r="E56" s="395" t="s">
        <v>858</v>
      </c>
      <c r="F56" s="395"/>
      <c r="G56" s="44">
        <f>G57+G66+G69+G72</f>
        <v>52746.326650000003</v>
      </c>
      <c r="H56" s="44">
        <f t="shared" ref="H56" si="27">H57+H66+H69+H72</f>
        <v>51366.408000000003</v>
      </c>
      <c r="I56" s="393">
        <f t="shared" si="2"/>
        <v>97.38385829376044</v>
      </c>
      <c r="J56" s="413"/>
      <c r="K56" s="401"/>
    </row>
    <row r="57" spans="1:12" ht="31.5" x14ac:dyDescent="0.25">
      <c r="A57" s="396" t="s">
        <v>896</v>
      </c>
      <c r="B57" s="390">
        <v>902</v>
      </c>
      <c r="C57" s="392" t="s">
        <v>118</v>
      </c>
      <c r="D57" s="392" t="s">
        <v>150</v>
      </c>
      <c r="E57" s="392" t="s">
        <v>859</v>
      </c>
      <c r="F57" s="392"/>
      <c r="G57" s="397">
        <f>G58+G60+G64+G62</f>
        <v>47822.226450000002</v>
      </c>
      <c r="H57" s="397">
        <f t="shared" ref="H57" si="28">H58+H60+H64+H62</f>
        <v>46467.025999999998</v>
      </c>
      <c r="I57" s="397">
        <f t="shared" si="2"/>
        <v>97.166170313260253</v>
      </c>
      <c r="J57" s="413"/>
      <c r="K57" s="401"/>
      <c r="L57" s="192"/>
    </row>
    <row r="58" spans="1:12" ht="62.1" customHeight="1" x14ac:dyDescent="0.25">
      <c r="A58" s="396" t="s">
        <v>127</v>
      </c>
      <c r="B58" s="390">
        <v>902</v>
      </c>
      <c r="C58" s="392" t="s">
        <v>118</v>
      </c>
      <c r="D58" s="392" t="s">
        <v>150</v>
      </c>
      <c r="E58" s="392" t="s">
        <v>859</v>
      </c>
      <c r="F58" s="392" t="s">
        <v>128</v>
      </c>
      <c r="G58" s="397">
        <f>G59</f>
        <v>38490.29</v>
      </c>
      <c r="H58" s="397">
        <f t="shared" ref="H58" si="29">H59</f>
        <v>37985.095999999998</v>
      </c>
      <c r="I58" s="397">
        <f t="shared" si="2"/>
        <v>98.687476763620126</v>
      </c>
      <c r="J58" s="413"/>
      <c r="K58" s="401"/>
      <c r="L58" s="192"/>
    </row>
    <row r="59" spans="1:12" ht="31.5" x14ac:dyDescent="0.25">
      <c r="A59" s="396" t="s">
        <v>129</v>
      </c>
      <c r="B59" s="390">
        <v>902</v>
      </c>
      <c r="C59" s="392" t="s">
        <v>118</v>
      </c>
      <c r="D59" s="392" t="s">
        <v>150</v>
      </c>
      <c r="E59" s="392" t="s">
        <v>859</v>
      </c>
      <c r="F59" s="392" t="s">
        <v>130</v>
      </c>
      <c r="G59" s="27">
        <f>36772.2+2068.3+300+1000-786.27+4540.56-55.3-17-923+15+25-4000+4000-52-5000+26.9-94.5-683-2860-86.6+4360+640-700</f>
        <v>38490.29</v>
      </c>
      <c r="H59" s="27">
        <v>37985.095999999998</v>
      </c>
      <c r="I59" s="397">
        <f t="shared" si="2"/>
        <v>98.687476763620126</v>
      </c>
      <c r="J59" s="413"/>
      <c r="K59" s="401"/>
      <c r="L59" s="424"/>
    </row>
    <row r="60" spans="1:12" ht="31.5" x14ac:dyDescent="0.25">
      <c r="A60" s="396" t="s">
        <v>131</v>
      </c>
      <c r="B60" s="390">
        <v>902</v>
      </c>
      <c r="C60" s="392" t="s">
        <v>118</v>
      </c>
      <c r="D60" s="392" t="s">
        <v>150</v>
      </c>
      <c r="E60" s="392" t="s">
        <v>859</v>
      </c>
      <c r="F60" s="392" t="s">
        <v>132</v>
      </c>
      <c r="G60" s="397">
        <f>G61</f>
        <v>9290.9364499999992</v>
      </c>
      <c r="H60" s="397">
        <f t="shared" ref="H60" si="30">H61</f>
        <v>8442.2189999999991</v>
      </c>
      <c r="I60" s="397">
        <f t="shared" si="2"/>
        <v>90.865103269541791</v>
      </c>
      <c r="J60" s="413"/>
      <c r="K60" s="401"/>
      <c r="L60" s="192"/>
    </row>
    <row r="61" spans="1:12" ht="31.5" x14ac:dyDescent="0.25">
      <c r="A61" s="396" t="s">
        <v>133</v>
      </c>
      <c r="B61" s="390">
        <v>902</v>
      </c>
      <c r="C61" s="392" t="s">
        <v>118</v>
      </c>
      <c r="D61" s="392" t="s">
        <v>150</v>
      </c>
      <c r="E61" s="392" t="s">
        <v>859</v>
      </c>
      <c r="F61" s="392" t="s">
        <v>134</v>
      </c>
      <c r="G61" s="27">
        <f>6101-541.6+72+430-100-383+1300+13+100-518-23.5-85+3.5+105+39+413-1.99-170+170+444-37.75+35+730+277+923+68+83+830+15+348.505+15+38+58-277-270-891-94.32855+30+43.1</f>
        <v>9290.9364499999992</v>
      </c>
      <c r="H61" s="27">
        <v>8442.2189999999991</v>
      </c>
      <c r="I61" s="397">
        <f t="shared" si="2"/>
        <v>90.865103269541791</v>
      </c>
      <c r="J61" s="415"/>
      <c r="K61" s="401"/>
      <c r="L61" s="192"/>
    </row>
    <row r="62" spans="1:12" s="192" customFormat="1" ht="15.75" hidden="1" x14ac:dyDescent="0.25">
      <c r="A62" s="396" t="s">
        <v>248</v>
      </c>
      <c r="B62" s="390">
        <v>902</v>
      </c>
      <c r="C62" s="392" t="s">
        <v>118</v>
      </c>
      <c r="D62" s="392" t="s">
        <v>150</v>
      </c>
      <c r="E62" s="392" t="s">
        <v>859</v>
      </c>
      <c r="F62" s="392" t="s">
        <v>249</v>
      </c>
      <c r="G62" s="27">
        <f>G63</f>
        <v>0</v>
      </c>
      <c r="H62" s="27">
        <f t="shared" ref="H62" si="31">H63</f>
        <v>0</v>
      </c>
      <c r="I62" s="397" t="e">
        <f t="shared" si="2"/>
        <v>#DIV/0!</v>
      </c>
      <c r="J62" s="413"/>
      <c r="K62" s="401"/>
    </row>
    <row r="63" spans="1:12" s="192" customFormat="1" ht="31.5" hidden="1" x14ac:dyDescent="0.25">
      <c r="A63" s="396" t="s">
        <v>250</v>
      </c>
      <c r="B63" s="390">
        <v>902</v>
      </c>
      <c r="C63" s="392" t="s">
        <v>118</v>
      </c>
      <c r="D63" s="392" t="s">
        <v>150</v>
      </c>
      <c r="E63" s="392" t="s">
        <v>859</v>
      </c>
      <c r="F63" s="392" t="s">
        <v>251</v>
      </c>
      <c r="G63" s="27">
        <f>755-755</f>
        <v>0</v>
      </c>
      <c r="H63" s="27">
        <f t="shared" ref="H63" si="32">755-755</f>
        <v>0</v>
      </c>
      <c r="I63" s="397" t="e">
        <f t="shared" si="2"/>
        <v>#DIV/0!</v>
      </c>
      <c r="J63" s="413"/>
      <c r="K63" s="401"/>
    </row>
    <row r="64" spans="1:12" ht="15.75" x14ac:dyDescent="0.25">
      <c r="A64" s="396" t="s">
        <v>135</v>
      </c>
      <c r="B64" s="390">
        <v>902</v>
      </c>
      <c r="C64" s="392" t="s">
        <v>118</v>
      </c>
      <c r="D64" s="392" t="s">
        <v>150</v>
      </c>
      <c r="E64" s="392" t="s">
        <v>859</v>
      </c>
      <c r="F64" s="392" t="s">
        <v>145</v>
      </c>
      <c r="G64" s="397">
        <f>G65</f>
        <v>41</v>
      </c>
      <c r="H64" s="397">
        <f t="shared" ref="H64" si="33">H65</f>
        <v>39.710999999999999</v>
      </c>
      <c r="I64" s="397">
        <f t="shared" si="2"/>
        <v>96.856097560975613</v>
      </c>
      <c r="J64" s="415"/>
      <c r="K64" s="401"/>
      <c r="L64" s="192"/>
    </row>
    <row r="65" spans="1:12" ht="15.75" x14ac:dyDescent="0.25">
      <c r="A65" s="396" t="s">
        <v>568</v>
      </c>
      <c r="B65" s="390">
        <v>902</v>
      </c>
      <c r="C65" s="392" t="s">
        <v>118</v>
      </c>
      <c r="D65" s="392" t="s">
        <v>150</v>
      </c>
      <c r="E65" s="392" t="s">
        <v>859</v>
      </c>
      <c r="F65" s="392" t="s">
        <v>138</v>
      </c>
      <c r="G65" s="27">
        <f>75-34</f>
        <v>41</v>
      </c>
      <c r="H65" s="27">
        <v>39.710999999999999</v>
      </c>
      <c r="I65" s="397">
        <f t="shared" si="2"/>
        <v>96.856097560975613</v>
      </c>
      <c r="J65" s="413"/>
      <c r="K65" s="401"/>
      <c r="L65" s="192"/>
    </row>
    <row r="66" spans="1:12" s="192" customFormat="1" ht="31.5" x14ac:dyDescent="0.25">
      <c r="A66" s="396" t="s">
        <v>839</v>
      </c>
      <c r="B66" s="390">
        <v>902</v>
      </c>
      <c r="C66" s="392" t="s">
        <v>118</v>
      </c>
      <c r="D66" s="392" t="s">
        <v>150</v>
      </c>
      <c r="E66" s="392" t="s">
        <v>860</v>
      </c>
      <c r="F66" s="392"/>
      <c r="G66" s="27">
        <f>G67</f>
        <v>2749.6000000000004</v>
      </c>
      <c r="H66" s="27">
        <f t="shared" ref="H66:H67" si="34">H67</f>
        <v>2728.58</v>
      </c>
      <c r="I66" s="397">
        <f t="shared" si="2"/>
        <v>99.235525167297041</v>
      </c>
      <c r="J66" s="413"/>
      <c r="K66" s="401"/>
    </row>
    <row r="67" spans="1:12" s="192" customFormat="1" ht="67.7" customHeight="1" x14ac:dyDescent="0.25">
      <c r="A67" s="396" t="s">
        <v>127</v>
      </c>
      <c r="B67" s="390">
        <v>902</v>
      </c>
      <c r="C67" s="392" t="s">
        <v>118</v>
      </c>
      <c r="D67" s="392" t="s">
        <v>150</v>
      </c>
      <c r="E67" s="392" t="s">
        <v>860</v>
      </c>
      <c r="F67" s="392" t="s">
        <v>128</v>
      </c>
      <c r="G67" s="27">
        <f>G68</f>
        <v>2749.6000000000004</v>
      </c>
      <c r="H67" s="27">
        <f t="shared" si="34"/>
        <v>2728.58</v>
      </c>
      <c r="I67" s="397">
        <f t="shared" si="2"/>
        <v>99.235525167297041</v>
      </c>
      <c r="J67" s="413"/>
      <c r="K67" s="401"/>
    </row>
    <row r="68" spans="1:12" s="192" customFormat="1" ht="31.5" x14ac:dyDescent="0.25">
      <c r="A68" s="396" t="s">
        <v>129</v>
      </c>
      <c r="B68" s="390">
        <v>902</v>
      </c>
      <c r="C68" s="392" t="s">
        <v>118</v>
      </c>
      <c r="D68" s="392" t="s">
        <v>150</v>
      </c>
      <c r="E68" s="392" t="s">
        <v>860</v>
      </c>
      <c r="F68" s="392" t="s">
        <v>130</v>
      </c>
      <c r="G68" s="27">
        <f>2071.4+646.4+71.8-40</f>
        <v>2749.6000000000004</v>
      </c>
      <c r="H68" s="27">
        <v>2728.58</v>
      </c>
      <c r="I68" s="397">
        <f t="shared" si="2"/>
        <v>99.235525167297041</v>
      </c>
      <c r="J68" s="413"/>
      <c r="K68" s="401"/>
    </row>
    <row r="69" spans="1:12" s="192" customFormat="1" ht="31.5" x14ac:dyDescent="0.25">
      <c r="A69" s="396" t="s">
        <v>838</v>
      </c>
      <c r="B69" s="390">
        <v>902</v>
      </c>
      <c r="C69" s="392" t="s">
        <v>118</v>
      </c>
      <c r="D69" s="392" t="s">
        <v>150</v>
      </c>
      <c r="E69" s="392" t="s">
        <v>861</v>
      </c>
      <c r="F69" s="392"/>
      <c r="G69" s="397">
        <f>G70</f>
        <v>1013.6399999999999</v>
      </c>
      <c r="H69" s="397">
        <f t="shared" ref="H69:H70" si="35">H70</f>
        <v>1009.942</v>
      </c>
      <c r="I69" s="397">
        <f t="shared" si="2"/>
        <v>99.635176196677335</v>
      </c>
      <c r="J69" s="413"/>
      <c r="K69" s="401"/>
    </row>
    <row r="70" spans="1:12" s="192" customFormat="1" ht="63" x14ac:dyDescent="0.25">
      <c r="A70" s="396" t="s">
        <v>127</v>
      </c>
      <c r="B70" s="390">
        <v>902</v>
      </c>
      <c r="C70" s="392" t="s">
        <v>118</v>
      </c>
      <c r="D70" s="392" t="s">
        <v>150</v>
      </c>
      <c r="E70" s="392" t="s">
        <v>861</v>
      </c>
      <c r="F70" s="392" t="s">
        <v>128</v>
      </c>
      <c r="G70" s="397">
        <f>G71</f>
        <v>1013.6399999999999</v>
      </c>
      <c r="H70" s="397">
        <f t="shared" si="35"/>
        <v>1009.942</v>
      </c>
      <c r="I70" s="397">
        <f t="shared" si="2"/>
        <v>99.635176196677335</v>
      </c>
      <c r="J70" s="413"/>
      <c r="K70" s="401"/>
    </row>
    <row r="71" spans="1:12" s="192" customFormat="1" ht="31.5" x14ac:dyDescent="0.25">
      <c r="A71" s="396" t="s">
        <v>129</v>
      </c>
      <c r="B71" s="390">
        <v>902</v>
      </c>
      <c r="C71" s="392" t="s">
        <v>118</v>
      </c>
      <c r="D71" s="392" t="s">
        <v>150</v>
      </c>
      <c r="E71" s="392" t="s">
        <v>861</v>
      </c>
      <c r="F71" s="392" t="s">
        <v>130</v>
      </c>
      <c r="G71" s="397">
        <f>1545+46-10-40-79-18.025-43-117.335-270</f>
        <v>1013.6399999999999</v>
      </c>
      <c r="H71" s="397">
        <v>1009.942</v>
      </c>
      <c r="I71" s="397">
        <f t="shared" si="2"/>
        <v>99.635176196677335</v>
      </c>
      <c r="J71" s="413"/>
      <c r="K71" s="401"/>
      <c r="L71" s="424"/>
    </row>
    <row r="72" spans="1:12" s="192" customFormat="1" ht="31.5" x14ac:dyDescent="0.25">
      <c r="A72" s="396" t="s">
        <v>1677</v>
      </c>
      <c r="B72" s="390">
        <v>902</v>
      </c>
      <c r="C72" s="392" t="s">
        <v>118</v>
      </c>
      <c r="D72" s="392" t="s">
        <v>150</v>
      </c>
      <c r="E72" s="392" t="s">
        <v>1678</v>
      </c>
      <c r="F72" s="392"/>
      <c r="G72" s="397">
        <f>G73</f>
        <v>1160.8601999999998</v>
      </c>
      <c r="H72" s="397">
        <f t="shared" ref="H72:H73" si="36">H73</f>
        <v>1160.8599999999999</v>
      </c>
      <c r="I72" s="397">
        <f t="shared" si="2"/>
        <v>99.999982771396589</v>
      </c>
      <c r="J72" s="413"/>
      <c r="K72" s="401"/>
      <c r="L72" s="424"/>
    </row>
    <row r="73" spans="1:12" s="192" customFormat="1" ht="63" x14ac:dyDescent="0.25">
      <c r="A73" s="396" t="s">
        <v>127</v>
      </c>
      <c r="B73" s="390">
        <v>902</v>
      </c>
      <c r="C73" s="392" t="s">
        <v>118</v>
      </c>
      <c r="D73" s="392" t="s">
        <v>150</v>
      </c>
      <c r="E73" s="392" t="s">
        <v>1678</v>
      </c>
      <c r="F73" s="392" t="s">
        <v>128</v>
      </c>
      <c r="G73" s="397">
        <f>G74</f>
        <v>1160.8601999999998</v>
      </c>
      <c r="H73" s="397">
        <f t="shared" si="36"/>
        <v>1160.8599999999999</v>
      </c>
      <c r="I73" s="397">
        <f t="shared" si="2"/>
        <v>99.999982771396589</v>
      </c>
      <c r="J73" s="413"/>
      <c r="K73" s="401"/>
      <c r="L73" s="424"/>
    </row>
    <row r="74" spans="1:12" s="192" customFormat="1" ht="31.5" x14ac:dyDescent="0.25">
      <c r="A74" s="396" t="s">
        <v>129</v>
      </c>
      <c r="B74" s="390">
        <v>902</v>
      </c>
      <c r="C74" s="392" t="s">
        <v>118</v>
      </c>
      <c r="D74" s="392" t="s">
        <v>150</v>
      </c>
      <c r="E74" s="392" t="s">
        <v>1678</v>
      </c>
      <c r="F74" s="392" t="s">
        <v>130</v>
      </c>
      <c r="G74" s="397">
        <f>842.6465+266.1337+52.08</f>
        <v>1160.8601999999998</v>
      </c>
      <c r="H74" s="397">
        <v>1160.8599999999999</v>
      </c>
      <c r="I74" s="397">
        <f t="shared" ref="I74:I137" si="37">H74/G74*100</f>
        <v>99.999982771396589</v>
      </c>
      <c r="J74" s="413"/>
      <c r="K74" s="401"/>
      <c r="L74" s="424"/>
    </row>
    <row r="75" spans="1:12" s="192" customFormat="1" ht="31.5" x14ac:dyDescent="0.25">
      <c r="A75" s="394" t="s">
        <v>884</v>
      </c>
      <c r="B75" s="391">
        <v>902</v>
      </c>
      <c r="C75" s="395" t="s">
        <v>118</v>
      </c>
      <c r="D75" s="395" t="s">
        <v>150</v>
      </c>
      <c r="E75" s="395" t="s">
        <v>862</v>
      </c>
      <c r="F75" s="395"/>
      <c r="G75" s="393">
        <f>G76+G82+G87+G92+G79</f>
        <v>3378.9</v>
      </c>
      <c r="H75" s="393">
        <f t="shared" ref="H75" si="38">H76+H82+H87+H92+H79</f>
        <v>3259.9299999999994</v>
      </c>
      <c r="I75" s="393">
        <f t="shared" si="37"/>
        <v>96.479031637515149</v>
      </c>
      <c r="J75" s="413"/>
      <c r="K75" s="401"/>
    </row>
    <row r="76" spans="1:12" s="192" customFormat="1" ht="35.450000000000003" hidden="1" customHeight="1" x14ac:dyDescent="0.25">
      <c r="A76" s="396" t="s">
        <v>779</v>
      </c>
      <c r="B76" s="390">
        <v>902</v>
      </c>
      <c r="C76" s="392" t="s">
        <v>118</v>
      </c>
      <c r="D76" s="392" t="s">
        <v>150</v>
      </c>
      <c r="E76" s="392" t="s">
        <v>918</v>
      </c>
      <c r="F76" s="395"/>
      <c r="G76" s="397">
        <f>G77</f>
        <v>0</v>
      </c>
      <c r="H76" s="397">
        <f t="shared" ref="H76:H77" si="39">H77</f>
        <v>0</v>
      </c>
      <c r="I76" s="397" t="e">
        <f t="shared" si="37"/>
        <v>#DIV/0!</v>
      </c>
      <c r="J76" s="413"/>
      <c r="K76" s="401"/>
    </row>
    <row r="77" spans="1:12" s="192" customFormat="1" ht="31.5" hidden="1" x14ac:dyDescent="0.25">
      <c r="A77" s="396" t="s">
        <v>131</v>
      </c>
      <c r="B77" s="390">
        <v>902</v>
      </c>
      <c r="C77" s="392" t="s">
        <v>118</v>
      </c>
      <c r="D77" s="392" t="s">
        <v>150</v>
      </c>
      <c r="E77" s="392" t="s">
        <v>918</v>
      </c>
      <c r="F77" s="392" t="s">
        <v>132</v>
      </c>
      <c r="G77" s="397">
        <f>G78</f>
        <v>0</v>
      </c>
      <c r="H77" s="397">
        <f t="shared" si="39"/>
        <v>0</v>
      </c>
      <c r="I77" s="397" t="e">
        <f t="shared" si="37"/>
        <v>#DIV/0!</v>
      </c>
      <c r="J77" s="413"/>
      <c r="K77" s="401"/>
    </row>
    <row r="78" spans="1:12" s="192" customFormat="1" ht="31.5" hidden="1" x14ac:dyDescent="0.25">
      <c r="A78" s="396" t="s">
        <v>133</v>
      </c>
      <c r="B78" s="390">
        <v>902</v>
      </c>
      <c r="C78" s="392" t="s">
        <v>118</v>
      </c>
      <c r="D78" s="392" t="s">
        <v>150</v>
      </c>
      <c r="E78" s="392" t="s">
        <v>918</v>
      </c>
      <c r="F78" s="392" t="s">
        <v>134</v>
      </c>
      <c r="G78" s="397">
        <v>0</v>
      </c>
      <c r="H78" s="397">
        <v>0</v>
      </c>
      <c r="I78" s="397" t="e">
        <f t="shared" si="37"/>
        <v>#DIV/0!</v>
      </c>
      <c r="J78" s="413"/>
      <c r="K78" s="401"/>
    </row>
    <row r="79" spans="1:12" s="192" customFormat="1" ht="47.25" x14ac:dyDescent="0.25">
      <c r="A79" s="31" t="s">
        <v>1172</v>
      </c>
      <c r="B79" s="390">
        <v>902</v>
      </c>
      <c r="C79" s="392" t="s">
        <v>118</v>
      </c>
      <c r="D79" s="392" t="s">
        <v>150</v>
      </c>
      <c r="E79" s="392" t="s">
        <v>1171</v>
      </c>
      <c r="F79" s="392"/>
      <c r="G79" s="397">
        <f>G80</f>
        <v>105.9</v>
      </c>
      <c r="H79" s="397">
        <f t="shared" ref="H79:H80" si="40">H80</f>
        <v>101.294</v>
      </c>
      <c r="I79" s="397">
        <f t="shared" si="37"/>
        <v>95.650613786591123</v>
      </c>
      <c r="J79" s="413"/>
      <c r="K79" s="401"/>
    </row>
    <row r="80" spans="1:12" s="192" customFormat="1" ht="31.5" x14ac:dyDescent="0.25">
      <c r="A80" s="396" t="s">
        <v>131</v>
      </c>
      <c r="B80" s="390">
        <v>902</v>
      </c>
      <c r="C80" s="392" t="s">
        <v>118</v>
      </c>
      <c r="D80" s="392" t="s">
        <v>150</v>
      </c>
      <c r="E80" s="392" t="s">
        <v>1171</v>
      </c>
      <c r="F80" s="392" t="s">
        <v>132</v>
      </c>
      <c r="G80" s="397">
        <f>G81</f>
        <v>105.9</v>
      </c>
      <c r="H80" s="397">
        <f t="shared" si="40"/>
        <v>101.294</v>
      </c>
      <c r="I80" s="397">
        <f t="shared" si="37"/>
        <v>95.650613786591123</v>
      </c>
      <c r="J80" s="413"/>
      <c r="K80" s="401"/>
    </row>
    <row r="81" spans="1:11" s="192" customFormat="1" ht="31.5" x14ac:dyDescent="0.25">
      <c r="A81" s="396" t="s">
        <v>133</v>
      </c>
      <c r="B81" s="390">
        <v>902</v>
      </c>
      <c r="C81" s="392" t="s">
        <v>118</v>
      </c>
      <c r="D81" s="392" t="s">
        <v>150</v>
      </c>
      <c r="E81" s="392" t="s">
        <v>1171</v>
      </c>
      <c r="F81" s="392" t="s">
        <v>134</v>
      </c>
      <c r="G81" s="397">
        <v>105.9</v>
      </c>
      <c r="H81" s="397">
        <v>101.294</v>
      </c>
      <c r="I81" s="397">
        <f t="shared" si="37"/>
        <v>95.650613786591123</v>
      </c>
      <c r="J81" s="413"/>
      <c r="K81" s="401"/>
    </row>
    <row r="82" spans="1:11" s="192" customFormat="1" ht="47.25" x14ac:dyDescent="0.25">
      <c r="A82" s="31" t="s">
        <v>189</v>
      </c>
      <c r="B82" s="390">
        <v>902</v>
      </c>
      <c r="C82" s="392" t="s">
        <v>118</v>
      </c>
      <c r="D82" s="392" t="s">
        <v>150</v>
      </c>
      <c r="E82" s="392" t="s">
        <v>919</v>
      </c>
      <c r="F82" s="392"/>
      <c r="G82" s="397">
        <f>G83+G85</f>
        <v>499.29999999999995</v>
      </c>
      <c r="H82" s="397">
        <f t="shared" ref="H82" si="41">H83+H85</f>
        <v>499.3</v>
      </c>
      <c r="I82" s="397">
        <f t="shared" si="37"/>
        <v>100.00000000000003</v>
      </c>
      <c r="J82" s="413"/>
      <c r="K82" s="401"/>
    </row>
    <row r="83" spans="1:11" s="192" customFormat="1" ht="63" x14ac:dyDescent="0.25">
      <c r="A83" s="396" t="s">
        <v>127</v>
      </c>
      <c r="B83" s="390">
        <v>902</v>
      </c>
      <c r="C83" s="392" t="s">
        <v>118</v>
      </c>
      <c r="D83" s="392" t="s">
        <v>150</v>
      </c>
      <c r="E83" s="392" t="s">
        <v>919</v>
      </c>
      <c r="F83" s="392" t="s">
        <v>128</v>
      </c>
      <c r="G83" s="397">
        <f>G84</f>
        <v>499.29999999999995</v>
      </c>
      <c r="H83" s="397">
        <f t="shared" ref="H83" si="42">H84</f>
        <v>499.3</v>
      </c>
      <c r="I83" s="397">
        <f t="shared" si="37"/>
        <v>100.00000000000003</v>
      </c>
      <c r="J83" s="413"/>
      <c r="K83" s="401"/>
    </row>
    <row r="84" spans="1:11" s="192" customFormat="1" ht="31.5" x14ac:dyDescent="0.25">
      <c r="A84" s="396" t="s">
        <v>129</v>
      </c>
      <c r="B84" s="390">
        <v>902</v>
      </c>
      <c r="C84" s="392" t="s">
        <v>118</v>
      </c>
      <c r="D84" s="392" t="s">
        <v>150</v>
      </c>
      <c r="E84" s="392" t="s">
        <v>919</v>
      </c>
      <c r="F84" s="392" t="s">
        <v>130</v>
      </c>
      <c r="G84" s="397">
        <f>555.9-56.6+1.99917-1.99917</f>
        <v>499.29999999999995</v>
      </c>
      <c r="H84" s="397">
        <v>499.3</v>
      </c>
      <c r="I84" s="397">
        <f t="shared" si="37"/>
        <v>100.00000000000003</v>
      </c>
      <c r="J84" s="413"/>
      <c r="K84" s="401"/>
    </row>
    <row r="85" spans="1:11" s="192" customFormat="1" ht="31.5" hidden="1" x14ac:dyDescent="0.25">
      <c r="A85" s="396" t="s">
        <v>131</v>
      </c>
      <c r="B85" s="390">
        <v>902</v>
      </c>
      <c r="C85" s="392" t="s">
        <v>118</v>
      </c>
      <c r="D85" s="392" t="s">
        <v>150</v>
      </c>
      <c r="E85" s="392" t="s">
        <v>919</v>
      </c>
      <c r="F85" s="392" t="s">
        <v>132</v>
      </c>
      <c r="G85" s="397">
        <f>G86</f>
        <v>0</v>
      </c>
      <c r="H85" s="397">
        <f t="shared" ref="H85" si="43">H86</f>
        <v>0</v>
      </c>
      <c r="I85" s="397" t="e">
        <f t="shared" si="37"/>
        <v>#DIV/0!</v>
      </c>
      <c r="J85" s="413"/>
      <c r="K85" s="401"/>
    </row>
    <row r="86" spans="1:11" s="192" customFormat="1" ht="31.5" hidden="1" x14ac:dyDescent="0.25">
      <c r="A86" s="396" t="s">
        <v>133</v>
      </c>
      <c r="B86" s="390">
        <v>902</v>
      </c>
      <c r="C86" s="392" t="s">
        <v>118</v>
      </c>
      <c r="D86" s="392" t="s">
        <v>150</v>
      </c>
      <c r="E86" s="392" t="s">
        <v>919</v>
      </c>
      <c r="F86" s="392" t="s">
        <v>134</v>
      </c>
      <c r="G86" s="397">
        <v>0</v>
      </c>
      <c r="H86" s="397">
        <v>0</v>
      </c>
      <c r="I86" s="397" t="e">
        <f t="shared" si="37"/>
        <v>#DIV/0!</v>
      </c>
      <c r="J86" s="413"/>
      <c r="K86" s="401"/>
    </row>
    <row r="87" spans="1:11" s="192" customFormat="1" ht="47.25" x14ac:dyDescent="0.25">
      <c r="A87" s="31" t="s">
        <v>194</v>
      </c>
      <c r="B87" s="390">
        <v>902</v>
      </c>
      <c r="C87" s="392" t="s">
        <v>118</v>
      </c>
      <c r="D87" s="392" t="s">
        <v>150</v>
      </c>
      <c r="E87" s="392" t="s">
        <v>1028</v>
      </c>
      <c r="F87" s="392"/>
      <c r="G87" s="397">
        <f>G88+G90</f>
        <v>1439.3999999999999</v>
      </c>
      <c r="H87" s="397">
        <f>H88+H90</f>
        <v>1347.5219999999999</v>
      </c>
      <c r="I87" s="397">
        <f t="shared" si="37"/>
        <v>93.616923718215929</v>
      </c>
      <c r="J87" s="413"/>
      <c r="K87" s="401"/>
    </row>
    <row r="88" spans="1:11" s="192" customFormat="1" ht="63" x14ac:dyDescent="0.25">
      <c r="A88" s="396" t="s">
        <v>127</v>
      </c>
      <c r="B88" s="390">
        <v>902</v>
      </c>
      <c r="C88" s="392" t="s">
        <v>118</v>
      </c>
      <c r="D88" s="392" t="s">
        <v>150</v>
      </c>
      <c r="E88" s="392" t="s">
        <v>1028</v>
      </c>
      <c r="F88" s="392" t="s">
        <v>128</v>
      </c>
      <c r="G88" s="397">
        <f>G89</f>
        <v>1359.1</v>
      </c>
      <c r="H88" s="397">
        <f t="shared" ref="H88" si="44">H89</f>
        <v>1282.222</v>
      </c>
      <c r="I88" s="397">
        <f t="shared" si="37"/>
        <v>94.343462585534553</v>
      </c>
      <c r="J88" s="413"/>
      <c r="K88" s="401"/>
    </row>
    <row r="89" spans="1:11" s="192" customFormat="1" ht="31.5" x14ac:dyDescent="0.25">
      <c r="A89" s="396" t="s">
        <v>129</v>
      </c>
      <c r="B89" s="390">
        <v>902</v>
      </c>
      <c r="C89" s="392" t="s">
        <v>118</v>
      </c>
      <c r="D89" s="392" t="s">
        <v>150</v>
      </c>
      <c r="E89" s="392" t="s">
        <v>1028</v>
      </c>
      <c r="F89" s="392" t="s">
        <v>130</v>
      </c>
      <c r="G89" s="397">
        <f>1333.1-39.7-21.5+100.2+8.8-21.8</f>
        <v>1359.1</v>
      </c>
      <c r="H89" s="397">
        <v>1282.222</v>
      </c>
      <c r="I89" s="397">
        <f t="shared" si="37"/>
        <v>94.343462585534553</v>
      </c>
      <c r="J89" s="413"/>
      <c r="K89" s="401"/>
    </row>
    <row r="90" spans="1:11" s="192" customFormat="1" ht="31.5" x14ac:dyDescent="0.25">
      <c r="A90" s="396" t="s">
        <v>131</v>
      </c>
      <c r="B90" s="390">
        <v>902</v>
      </c>
      <c r="C90" s="392" t="s">
        <v>118</v>
      </c>
      <c r="D90" s="392" t="s">
        <v>150</v>
      </c>
      <c r="E90" s="392" t="s">
        <v>1028</v>
      </c>
      <c r="F90" s="392" t="s">
        <v>132</v>
      </c>
      <c r="G90" s="397">
        <f>G91</f>
        <v>80.3</v>
      </c>
      <c r="H90" s="397">
        <f t="shared" ref="H90" si="45">H91</f>
        <v>65.3</v>
      </c>
      <c r="I90" s="397">
        <f t="shared" si="37"/>
        <v>81.320049813200498</v>
      </c>
      <c r="J90" s="413"/>
      <c r="K90" s="401"/>
    </row>
    <row r="91" spans="1:11" s="192" customFormat="1" ht="31.5" x14ac:dyDescent="0.25">
      <c r="A91" s="396" t="s">
        <v>133</v>
      </c>
      <c r="B91" s="390">
        <v>902</v>
      </c>
      <c r="C91" s="392" t="s">
        <v>118</v>
      </c>
      <c r="D91" s="392" t="s">
        <v>150</v>
      </c>
      <c r="E91" s="392" t="s">
        <v>1028</v>
      </c>
      <c r="F91" s="392" t="s">
        <v>134</v>
      </c>
      <c r="G91" s="397">
        <f>156.9-116.5-0.7+21.5-2.7+21.8</f>
        <v>80.3</v>
      </c>
      <c r="H91" s="397">
        <v>65.3</v>
      </c>
      <c r="I91" s="397">
        <f t="shared" si="37"/>
        <v>81.320049813200498</v>
      </c>
      <c r="J91" s="413"/>
      <c r="K91" s="401"/>
    </row>
    <row r="92" spans="1:11" s="192" customFormat="1" ht="31.5" x14ac:dyDescent="0.25">
      <c r="A92" s="31" t="s">
        <v>196</v>
      </c>
      <c r="B92" s="390">
        <v>902</v>
      </c>
      <c r="C92" s="392" t="s">
        <v>118</v>
      </c>
      <c r="D92" s="392" t="s">
        <v>150</v>
      </c>
      <c r="E92" s="392" t="s">
        <v>920</v>
      </c>
      <c r="F92" s="392"/>
      <c r="G92" s="397">
        <f>G93+G95</f>
        <v>1334.3000000000002</v>
      </c>
      <c r="H92" s="397">
        <f t="shared" ref="H92" si="46">H93+H95</f>
        <v>1311.8139999999999</v>
      </c>
      <c r="I92" s="397">
        <f t="shared" si="37"/>
        <v>98.3147717904519</v>
      </c>
      <c r="J92" s="413"/>
      <c r="K92" s="401"/>
    </row>
    <row r="93" spans="1:11" s="192" customFormat="1" ht="63" x14ac:dyDescent="0.25">
      <c r="A93" s="396" t="s">
        <v>127</v>
      </c>
      <c r="B93" s="390">
        <v>902</v>
      </c>
      <c r="C93" s="392" t="s">
        <v>118</v>
      </c>
      <c r="D93" s="392" t="s">
        <v>150</v>
      </c>
      <c r="E93" s="392" t="s">
        <v>920</v>
      </c>
      <c r="F93" s="392" t="s">
        <v>128</v>
      </c>
      <c r="G93" s="397">
        <f>G94</f>
        <v>1293.0000000000002</v>
      </c>
      <c r="H93" s="397">
        <f t="shared" ref="H93" si="47">H94</f>
        <v>1270.5139999999999</v>
      </c>
      <c r="I93" s="397">
        <f t="shared" si="37"/>
        <v>98.260943542150017</v>
      </c>
      <c r="J93" s="413"/>
      <c r="K93" s="401"/>
    </row>
    <row r="94" spans="1:11" s="192" customFormat="1" ht="31.5" x14ac:dyDescent="0.25">
      <c r="A94" s="396" t="s">
        <v>129</v>
      </c>
      <c r="B94" s="390">
        <v>902</v>
      </c>
      <c r="C94" s="392" t="s">
        <v>118</v>
      </c>
      <c r="D94" s="392" t="s">
        <v>150</v>
      </c>
      <c r="E94" s="392" t="s">
        <v>920</v>
      </c>
      <c r="F94" s="392" t="s">
        <v>130</v>
      </c>
      <c r="G94" s="397">
        <f>1026.5+55.4+218.4-7.3</f>
        <v>1293.0000000000002</v>
      </c>
      <c r="H94" s="397">
        <v>1270.5139999999999</v>
      </c>
      <c r="I94" s="397">
        <f t="shared" si="37"/>
        <v>98.260943542150017</v>
      </c>
      <c r="J94" s="413"/>
      <c r="K94" s="401"/>
    </row>
    <row r="95" spans="1:11" s="192" customFormat="1" ht="31.5" x14ac:dyDescent="0.25">
      <c r="A95" s="396" t="s">
        <v>198</v>
      </c>
      <c r="B95" s="390">
        <v>902</v>
      </c>
      <c r="C95" s="392" t="s">
        <v>118</v>
      </c>
      <c r="D95" s="392" t="s">
        <v>150</v>
      </c>
      <c r="E95" s="392" t="s">
        <v>920</v>
      </c>
      <c r="F95" s="392" t="s">
        <v>132</v>
      </c>
      <c r="G95" s="397">
        <f>G96</f>
        <v>41.300000000000004</v>
      </c>
      <c r="H95" s="397">
        <f t="shared" ref="H95" si="48">H96</f>
        <v>41.3</v>
      </c>
      <c r="I95" s="397">
        <f t="shared" si="37"/>
        <v>99.999999999999972</v>
      </c>
      <c r="J95" s="413"/>
      <c r="K95" s="401"/>
    </row>
    <row r="96" spans="1:11" s="192" customFormat="1" ht="31.5" x14ac:dyDescent="0.25">
      <c r="A96" s="396" t="s">
        <v>133</v>
      </c>
      <c r="B96" s="390">
        <v>902</v>
      </c>
      <c r="C96" s="392" t="s">
        <v>118</v>
      </c>
      <c r="D96" s="392" t="s">
        <v>150</v>
      </c>
      <c r="E96" s="392" t="s">
        <v>920</v>
      </c>
      <c r="F96" s="392" t="s">
        <v>134</v>
      </c>
      <c r="G96" s="397">
        <f>89.4-55.4+7.3</f>
        <v>41.300000000000004</v>
      </c>
      <c r="H96" s="397">
        <v>41.3</v>
      </c>
      <c r="I96" s="397">
        <f t="shared" si="37"/>
        <v>99.999999999999972</v>
      </c>
      <c r="J96" s="413"/>
      <c r="K96" s="401"/>
    </row>
    <row r="97" spans="1:11" s="192" customFormat="1" ht="31.5" x14ac:dyDescent="0.25">
      <c r="A97" s="394" t="s">
        <v>1337</v>
      </c>
      <c r="B97" s="391">
        <v>902</v>
      </c>
      <c r="C97" s="395" t="s">
        <v>118</v>
      </c>
      <c r="D97" s="395" t="s">
        <v>150</v>
      </c>
      <c r="E97" s="395" t="s">
        <v>162</v>
      </c>
      <c r="F97" s="395"/>
      <c r="G97" s="393">
        <f>G98+G102+G111</f>
        <v>622.9</v>
      </c>
      <c r="H97" s="393">
        <f t="shared" ref="H97" si="49">H98+H102+H111</f>
        <v>622.14200000000005</v>
      </c>
      <c r="I97" s="393">
        <f t="shared" si="37"/>
        <v>99.878311125381288</v>
      </c>
      <c r="J97" s="413"/>
      <c r="K97" s="401"/>
    </row>
    <row r="98" spans="1:11" s="192" customFormat="1" ht="63" x14ac:dyDescent="0.25">
      <c r="A98" s="269" t="s">
        <v>1338</v>
      </c>
      <c r="B98" s="391">
        <v>902</v>
      </c>
      <c r="C98" s="395" t="s">
        <v>118</v>
      </c>
      <c r="D98" s="395" t="s">
        <v>150</v>
      </c>
      <c r="E98" s="7" t="s">
        <v>848</v>
      </c>
      <c r="F98" s="395"/>
      <c r="G98" s="393">
        <f>G99</f>
        <v>426</v>
      </c>
      <c r="H98" s="393">
        <f t="shared" ref="H98:H100" si="50">H99</f>
        <v>425.79300000000001</v>
      </c>
      <c r="I98" s="393">
        <f t="shared" si="37"/>
        <v>99.951408450704221</v>
      </c>
      <c r="J98" s="413"/>
      <c r="K98" s="401"/>
    </row>
    <row r="99" spans="1:11" s="192" customFormat="1" ht="47.25" x14ac:dyDescent="0.25">
      <c r="A99" s="29" t="s">
        <v>1306</v>
      </c>
      <c r="B99" s="390">
        <v>902</v>
      </c>
      <c r="C99" s="392" t="s">
        <v>118</v>
      </c>
      <c r="D99" s="392" t="s">
        <v>150</v>
      </c>
      <c r="E99" s="399" t="s">
        <v>840</v>
      </c>
      <c r="F99" s="392"/>
      <c r="G99" s="397">
        <f>G100</f>
        <v>426</v>
      </c>
      <c r="H99" s="397">
        <f t="shared" si="50"/>
        <v>425.79300000000001</v>
      </c>
      <c r="I99" s="397">
        <f t="shared" si="37"/>
        <v>99.951408450704221</v>
      </c>
      <c r="J99" s="413"/>
      <c r="K99" s="401"/>
    </row>
    <row r="100" spans="1:11" s="192" customFormat="1" ht="31.5" x14ac:dyDescent="0.25">
      <c r="A100" s="396" t="s">
        <v>131</v>
      </c>
      <c r="B100" s="390">
        <v>902</v>
      </c>
      <c r="C100" s="392" t="s">
        <v>118</v>
      </c>
      <c r="D100" s="392" t="s">
        <v>150</v>
      </c>
      <c r="E100" s="399" t="s">
        <v>840</v>
      </c>
      <c r="F100" s="392" t="s">
        <v>132</v>
      </c>
      <c r="G100" s="397">
        <f>G101</f>
        <v>426</v>
      </c>
      <c r="H100" s="397">
        <f t="shared" si="50"/>
        <v>425.79300000000001</v>
      </c>
      <c r="I100" s="397">
        <f t="shared" si="37"/>
        <v>99.951408450704221</v>
      </c>
      <c r="J100" s="413"/>
      <c r="K100" s="401"/>
    </row>
    <row r="101" spans="1:11" s="192" customFormat="1" ht="31.5" x14ac:dyDescent="0.25">
      <c r="A101" s="396" t="s">
        <v>133</v>
      </c>
      <c r="B101" s="390">
        <v>902</v>
      </c>
      <c r="C101" s="392" t="s">
        <v>118</v>
      </c>
      <c r="D101" s="392" t="s">
        <v>150</v>
      </c>
      <c r="E101" s="399" t="s">
        <v>840</v>
      </c>
      <c r="F101" s="392" t="s">
        <v>134</v>
      </c>
      <c r="G101" s="397">
        <f>606-180</f>
        <v>426</v>
      </c>
      <c r="H101" s="397">
        <v>425.79300000000001</v>
      </c>
      <c r="I101" s="397">
        <f t="shared" si="37"/>
        <v>99.951408450704221</v>
      </c>
      <c r="J101" s="413"/>
      <c r="K101" s="401"/>
    </row>
    <row r="102" spans="1:11" s="192" customFormat="1" ht="69.75" customHeight="1" x14ac:dyDescent="0.25">
      <c r="A102" s="200" t="s">
        <v>1339</v>
      </c>
      <c r="B102" s="252">
        <v>902</v>
      </c>
      <c r="C102" s="395" t="s">
        <v>118</v>
      </c>
      <c r="D102" s="395" t="s">
        <v>150</v>
      </c>
      <c r="E102" s="7" t="s">
        <v>849</v>
      </c>
      <c r="F102" s="395"/>
      <c r="G102" s="393">
        <f>G103+G108</f>
        <v>196.4</v>
      </c>
      <c r="H102" s="393">
        <f t="shared" ref="H102" si="51">H103+H108</f>
        <v>196.34899999999999</v>
      </c>
      <c r="I102" s="393">
        <f t="shared" si="37"/>
        <v>99.974032586558039</v>
      </c>
      <c r="J102" s="413"/>
      <c r="K102" s="401"/>
    </row>
    <row r="103" spans="1:11" s="192" customFormat="1" ht="47.25" x14ac:dyDescent="0.25">
      <c r="A103" s="172" t="s">
        <v>165</v>
      </c>
      <c r="B103" s="390">
        <v>902</v>
      </c>
      <c r="C103" s="392" t="s">
        <v>118</v>
      </c>
      <c r="D103" s="392" t="s">
        <v>150</v>
      </c>
      <c r="E103" s="399" t="s">
        <v>841</v>
      </c>
      <c r="F103" s="392"/>
      <c r="G103" s="397">
        <f>G104+G106</f>
        <v>196.4</v>
      </c>
      <c r="H103" s="397">
        <f t="shared" ref="H103" si="52">H104+H106</f>
        <v>196.34899999999999</v>
      </c>
      <c r="I103" s="397">
        <f t="shared" si="37"/>
        <v>99.974032586558039</v>
      </c>
      <c r="J103" s="413"/>
      <c r="K103" s="401"/>
    </row>
    <row r="104" spans="1:11" s="192" customFormat="1" ht="63" x14ac:dyDescent="0.25">
      <c r="A104" s="396" t="s">
        <v>127</v>
      </c>
      <c r="B104" s="390">
        <v>902</v>
      </c>
      <c r="C104" s="392" t="s">
        <v>118</v>
      </c>
      <c r="D104" s="392" t="s">
        <v>150</v>
      </c>
      <c r="E104" s="399" t="s">
        <v>841</v>
      </c>
      <c r="F104" s="392" t="s">
        <v>128</v>
      </c>
      <c r="G104" s="397">
        <f>G105</f>
        <v>151.4</v>
      </c>
      <c r="H104" s="397">
        <f t="shared" ref="H104" si="53">H105</f>
        <v>151.34899999999999</v>
      </c>
      <c r="I104" s="397">
        <f t="shared" si="37"/>
        <v>99.966314398943183</v>
      </c>
      <c r="J104" s="413"/>
      <c r="K104" s="401"/>
    </row>
    <row r="105" spans="1:11" s="192" customFormat="1" ht="31.5" x14ac:dyDescent="0.25">
      <c r="A105" s="396" t="s">
        <v>129</v>
      </c>
      <c r="B105" s="390">
        <v>902</v>
      </c>
      <c r="C105" s="392" t="s">
        <v>118</v>
      </c>
      <c r="D105" s="392" t="s">
        <v>150</v>
      </c>
      <c r="E105" s="399" t="s">
        <v>841</v>
      </c>
      <c r="F105" s="392" t="s">
        <v>130</v>
      </c>
      <c r="G105" s="397">
        <f>37+55.3+17+42.1</f>
        <v>151.4</v>
      </c>
      <c r="H105" s="397">
        <v>151.34899999999999</v>
      </c>
      <c r="I105" s="397">
        <f t="shared" si="37"/>
        <v>99.966314398943183</v>
      </c>
      <c r="J105" s="413"/>
      <c r="K105" s="401"/>
    </row>
    <row r="106" spans="1:11" s="192" customFormat="1" ht="31.5" x14ac:dyDescent="0.25">
      <c r="A106" s="396" t="s">
        <v>131</v>
      </c>
      <c r="B106" s="390">
        <v>902</v>
      </c>
      <c r="C106" s="392" t="s">
        <v>118</v>
      </c>
      <c r="D106" s="392" t="s">
        <v>150</v>
      </c>
      <c r="E106" s="399" t="s">
        <v>841</v>
      </c>
      <c r="F106" s="392" t="s">
        <v>132</v>
      </c>
      <c r="G106" s="397">
        <f>G107</f>
        <v>45</v>
      </c>
      <c r="H106" s="397">
        <f t="shared" ref="H106" si="54">H107</f>
        <v>45</v>
      </c>
      <c r="I106" s="397">
        <f t="shared" si="37"/>
        <v>100</v>
      </c>
      <c r="J106" s="413"/>
      <c r="K106" s="401"/>
    </row>
    <row r="107" spans="1:11" s="192" customFormat="1" ht="31.5" x14ac:dyDescent="0.25">
      <c r="A107" s="396" t="s">
        <v>133</v>
      </c>
      <c r="B107" s="390">
        <v>902</v>
      </c>
      <c r="C107" s="392" t="s">
        <v>118</v>
      </c>
      <c r="D107" s="392" t="s">
        <v>150</v>
      </c>
      <c r="E107" s="399" t="s">
        <v>841</v>
      </c>
      <c r="F107" s="392" t="s">
        <v>134</v>
      </c>
      <c r="G107" s="397">
        <f>40+5</f>
        <v>45</v>
      </c>
      <c r="H107" s="397">
        <v>45</v>
      </c>
      <c r="I107" s="397">
        <f t="shared" si="37"/>
        <v>100</v>
      </c>
      <c r="J107" s="413"/>
      <c r="K107" s="401"/>
    </row>
    <row r="108" spans="1:11" s="192" customFormat="1" ht="47.25" hidden="1" x14ac:dyDescent="0.25">
      <c r="A108" s="31" t="s">
        <v>1095</v>
      </c>
      <c r="B108" s="390">
        <v>902</v>
      </c>
      <c r="C108" s="392" t="s">
        <v>118</v>
      </c>
      <c r="D108" s="392" t="s">
        <v>150</v>
      </c>
      <c r="E108" s="399" t="s">
        <v>992</v>
      </c>
      <c r="F108" s="392"/>
      <c r="G108" s="397">
        <f>G109</f>
        <v>0</v>
      </c>
      <c r="H108" s="397">
        <f t="shared" ref="H108:H109" si="55">H109</f>
        <v>0</v>
      </c>
      <c r="I108" s="397" t="e">
        <f t="shared" si="37"/>
        <v>#DIV/0!</v>
      </c>
      <c r="J108" s="413"/>
      <c r="K108" s="401"/>
    </row>
    <row r="109" spans="1:11" s="192" customFormat="1" ht="31.5" hidden="1" x14ac:dyDescent="0.25">
      <c r="A109" s="396" t="s">
        <v>131</v>
      </c>
      <c r="B109" s="390">
        <v>902</v>
      </c>
      <c r="C109" s="392" t="s">
        <v>118</v>
      </c>
      <c r="D109" s="392" t="s">
        <v>150</v>
      </c>
      <c r="E109" s="399" t="s">
        <v>992</v>
      </c>
      <c r="F109" s="392" t="s">
        <v>132</v>
      </c>
      <c r="G109" s="397">
        <f>G110</f>
        <v>0</v>
      </c>
      <c r="H109" s="397">
        <f t="shared" si="55"/>
        <v>0</v>
      </c>
      <c r="I109" s="397" t="e">
        <f t="shared" si="37"/>
        <v>#DIV/0!</v>
      </c>
      <c r="J109" s="413"/>
      <c r="K109" s="401"/>
    </row>
    <row r="110" spans="1:11" s="192" customFormat="1" ht="31.5" hidden="1" x14ac:dyDescent="0.25">
      <c r="A110" s="396" t="s">
        <v>133</v>
      </c>
      <c r="B110" s="390">
        <v>902</v>
      </c>
      <c r="C110" s="392" t="s">
        <v>118</v>
      </c>
      <c r="D110" s="392" t="s">
        <v>150</v>
      </c>
      <c r="E110" s="399" t="s">
        <v>696</v>
      </c>
      <c r="F110" s="392" t="s">
        <v>134</v>
      </c>
      <c r="G110" s="397">
        <v>0</v>
      </c>
      <c r="H110" s="397">
        <v>0</v>
      </c>
      <c r="I110" s="397" t="e">
        <f t="shared" si="37"/>
        <v>#DIV/0!</v>
      </c>
      <c r="J110" s="413"/>
      <c r="K110" s="401"/>
    </row>
    <row r="111" spans="1:11" s="192" customFormat="1" ht="51" customHeight="1" x14ac:dyDescent="0.25">
      <c r="A111" s="484" t="s">
        <v>1002</v>
      </c>
      <c r="B111" s="482">
        <v>902</v>
      </c>
      <c r="C111" s="483" t="s">
        <v>118</v>
      </c>
      <c r="D111" s="483" t="s">
        <v>150</v>
      </c>
      <c r="E111" s="485" t="s">
        <v>850</v>
      </c>
      <c r="F111" s="395"/>
      <c r="G111" s="393">
        <f>G112+G115</f>
        <v>0.5</v>
      </c>
      <c r="H111" s="393">
        <f t="shared" ref="H111" si="56">H112+H115</f>
        <v>0</v>
      </c>
      <c r="I111" s="393">
        <f t="shared" si="37"/>
        <v>0</v>
      </c>
      <c r="J111" s="413"/>
      <c r="K111" s="401"/>
    </row>
    <row r="112" spans="1:11" s="192" customFormat="1" ht="31.5" x14ac:dyDescent="0.25">
      <c r="A112" s="33" t="s">
        <v>191</v>
      </c>
      <c r="B112" s="390">
        <v>902</v>
      </c>
      <c r="C112" s="392" t="s">
        <v>118</v>
      </c>
      <c r="D112" s="392" t="s">
        <v>150</v>
      </c>
      <c r="E112" s="399" t="s">
        <v>843</v>
      </c>
      <c r="F112" s="392"/>
      <c r="G112" s="397">
        <f>G113</f>
        <v>0.5</v>
      </c>
      <c r="H112" s="397">
        <f t="shared" ref="H112:H113" si="57">H113</f>
        <v>0</v>
      </c>
      <c r="I112" s="397">
        <f t="shared" si="37"/>
        <v>0</v>
      </c>
      <c r="J112" s="413"/>
      <c r="K112" s="401"/>
    </row>
    <row r="113" spans="1:12" s="192" customFormat="1" ht="31.5" x14ac:dyDescent="0.25">
      <c r="A113" s="396" t="s">
        <v>131</v>
      </c>
      <c r="B113" s="390">
        <v>902</v>
      </c>
      <c r="C113" s="392" t="s">
        <v>118</v>
      </c>
      <c r="D113" s="392" t="s">
        <v>150</v>
      </c>
      <c r="E113" s="399" t="s">
        <v>843</v>
      </c>
      <c r="F113" s="392" t="s">
        <v>132</v>
      </c>
      <c r="G113" s="397">
        <f>G114</f>
        <v>0.5</v>
      </c>
      <c r="H113" s="397">
        <f t="shared" si="57"/>
        <v>0</v>
      </c>
      <c r="I113" s="397">
        <f t="shared" si="37"/>
        <v>0</v>
      </c>
      <c r="J113" s="413"/>
      <c r="K113" s="401"/>
    </row>
    <row r="114" spans="1:12" s="192" customFormat="1" ht="31.5" x14ac:dyDescent="0.25">
      <c r="A114" s="396" t="s">
        <v>133</v>
      </c>
      <c r="B114" s="390">
        <v>902</v>
      </c>
      <c r="C114" s="392" t="s">
        <v>118</v>
      </c>
      <c r="D114" s="392" t="s">
        <v>150</v>
      </c>
      <c r="E114" s="399" t="s">
        <v>843</v>
      </c>
      <c r="F114" s="392" t="s">
        <v>134</v>
      </c>
      <c r="G114" s="397">
        <v>0.5</v>
      </c>
      <c r="H114" s="397">
        <v>0</v>
      </c>
      <c r="I114" s="397">
        <f t="shared" si="37"/>
        <v>0</v>
      </c>
      <c r="J114" s="413"/>
      <c r="K114" s="401"/>
    </row>
    <row r="115" spans="1:12" s="192" customFormat="1" ht="31.5" hidden="1" x14ac:dyDescent="0.25">
      <c r="A115" s="33" t="s">
        <v>191</v>
      </c>
      <c r="B115" s="390">
        <v>902</v>
      </c>
      <c r="C115" s="392" t="s">
        <v>118</v>
      </c>
      <c r="D115" s="392" t="s">
        <v>150</v>
      </c>
      <c r="E115" s="392" t="s">
        <v>844</v>
      </c>
      <c r="F115" s="392"/>
      <c r="G115" s="397">
        <f>G116</f>
        <v>0</v>
      </c>
      <c r="H115" s="397">
        <f t="shared" ref="H115:H116" si="58">H116</f>
        <v>0</v>
      </c>
      <c r="I115" s="397" t="e">
        <f t="shared" si="37"/>
        <v>#DIV/0!</v>
      </c>
      <c r="J115" s="413"/>
      <c r="K115" s="401"/>
    </row>
    <row r="116" spans="1:12" s="192" customFormat="1" ht="31.5" hidden="1" x14ac:dyDescent="0.25">
      <c r="A116" s="396" t="s">
        <v>131</v>
      </c>
      <c r="B116" s="390">
        <v>902</v>
      </c>
      <c r="C116" s="392" t="s">
        <v>118</v>
      </c>
      <c r="D116" s="392" t="s">
        <v>150</v>
      </c>
      <c r="E116" s="392" t="s">
        <v>844</v>
      </c>
      <c r="F116" s="392" t="s">
        <v>132</v>
      </c>
      <c r="G116" s="397">
        <f>G117</f>
        <v>0</v>
      </c>
      <c r="H116" s="397">
        <f t="shared" si="58"/>
        <v>0</v>
      </c>
      <c r="I116" s="397" t="e">
        <f t="shared" si="37"/>
        <v>#DIV/0!</v>
      </c>
      <c r="J116" s="413"/>
      <c r="K116" s="401"/>
    </row>
    <row r="117" spans="1:12" s="192" customFormat="1" ht="31.5" hidden="1" x14ac:dyDescent="0.25">
      <c r="A117" s="396" t="s">
        <v>133</v>
      </c>
      <c r="B117" s="390">
        <v>902</v>
      </c>
      <c r="C117" s="392" t="s">
        <v>118</v>
      </c>
      <c r="D117" s="392" t="s">
        <v>150</v>
      </c>
      <c r="E117" s="392" t="s">
        <v>844</v>
      </c>
      <c r="F117" s="392" t="s">
        <v>134</v>
      </c>
      <c r="G117" s="397">
        <v>0</v>
      </c>
      <c r="H117" s="397">
        <v>0</v>
      </c>
      <c r="I117" s="397" t="e">
        <f t="shared" si="37"/>
        <v>#DIV/0!</v>
      </c>
      <c r="J117" s="413"/>
      <c r="K117" s="401"/>
    </row>
    <row r="118" spans="1:12" ht="47.25" x14ac:dyDescent="0.25">
      <c r="A118" s="394" t="s">
        <v>119</v>
      </c>
      <c r="B118" s="391">
        <v>902</v>
      </c>
      <c r="C118" s="395" t="s">
        <v>118</v>
      </c>
      <c r="D118" s="395" t="s">
        <v>120</v>
      </c>
      <c r="E118" s="395"/>
      <c r="F118" s="392"/>
      <c r="G118" s="393">
        <f>G119</f>
        <v>1510.5133000000001</v>
      </c>
      <c r="H118" s="393">
        <f t="shared" ref="H118:H119" si="59">H119</f>
        <v>1489.722</v>
      </c>
      <c r="I118" s="393">
        <f t="shared" si="37"/>
        <v>98.623560613468271</v>
      </c>
      <c r="J118" s="413"/>
      <c r="K118" s="401"/>
      <c r="L118" s="192"/>
    </row>
    <row r="119" spans="1:12" ht="39.200000000000003" customHeight="1" x14ac:dyDescent="0.25">
      <c r="A119" s="394" t="s">
        <v>916</v>
      </c>
      <c r="B119" s="391">
        <v>902</v>
      </c>
      <c r="C119" s="395" t="s">
        <v>118</v>
      </c>
      <c r="D119" s="395" t="s">
        <v>120</v>
      </c>
      <c r="E119" s="395" t="s">
        <v>857</v>
      </c>
      <c r="F119" s="395"/>
      <c r="G119" s="393">
        <f>G120</f>
        <v>1510.5133000000001</v>
      </c>
      <c r="H119" s="393">
        <f t="shared" si="59"/>
        <v>1489.722</v>
      </c>
      <c r="I119" s="393">
        <f t="shared" si="37"/>
        <v>98.623560613468271</v>
      </c>
      <c r="J119" s="413"/>
      <c r="K119" s="401"/>
      <c r="L119" s="192"/>
    </row>
    <row r="120" spans="1:12" ht="15.75" x14ac:dyDescent="0.25">
      <c r="A120" s="394" t="s">
        <v>917</v>
      </c>
      <c r="B120" s="391">
        <v>902</v>
      </c>
      <c r="C120" s="395" t="s">
        <v>118</v>
      </c>
      <c r="D120" s="395" t="s">
        <v>120</v>
      </c>
      <c r="E120" s="395" t="s">
        <v>858</v>
      </c>
      <c r="F120" s="395"/>
      <c r="G120" s="393">
        <f>G121+G124+G135</f>
        <v>1510.5133000000001</v>
      </c>
      <c r="H120" s="393">
        <f t="shared" ref="H120" si="60">H121+H124+H135</f>
        <v>1489.722</v>
      </c>
      <c r="I120" s="393">
        <f t="shared" si="37"/>
        <v>98.623560613468271</v>
      </c>
      <c r="J120" s="413"/>
      <c r="K120" s="401"/>
      <c r="L120" s="192"/>
    </row>
    <row r="121" spans="1:12" ht="31.5" x14ac:dyDescent="0.25">
      <c r="A121" s="396" t="s">
        <v>896</v>
      </c>
      <c r="B121" s="390">
        <v>902</v>
      </c>
      <c r="C121" s="392" t="s">
        <v>118</v>
      </c>
      <c r="D121" s="392" t="s">
        <v>120</v>
      </c>
      <c r="E121" s="392" t="s">
        <v>859</v>
      </c>
      <c r="F121" s="392"/>
      <c r="G121" s="397">
        <f>G122</f>
        <v>1429.9</v>
      </c>
      <c r="H121" s="397">
        <f t="shared" ref="H121:H122" si="61">H122</f>
        <v>1419.04</v>
      </c>
      <c r="I121" s="397">
        <f t="shared" si="37"/>
        <v>99.240506329113913</v>
      </c>
      <c r="J121" s="413"/>
      <c r="K121" s="401"/>
      <c r="L121" s="192"/>
    </row>
    <row r="122" spans="1:12" ht="63" x14ac:dyDescent="0.25">
      <c r="A122" s="396" t="s">
        <v>127</v>
      </c>
      <c r="B122" s="390">
        <v>902</v>
      </c>
      <c r="C122" s="392" t="s">
        <v>118</v>
      </c>
      <c r="D122" s="392" t="s">
        <v>120</v>
      </c>
      <c r="E122" s="392" t="s">
        <v>859</v>
      </c>
      <c r="F122" s="392" t="s">
        <v>128</v>
      </c>
      <c r="G122" s="397">
        <f>G123</f>
        <v>1429.9</v>
      </c>
      <c r="H122" s="397">
        <f t="shared" si="61"/>
        <v>1419.04</v>
      </c>
      <c r="I122" s="397">
        <f t="shared" si="37"/>
        <v>99.240506329113913</v>
      </c>
      <c r="J122" s="413"/>
      <c r="K122" s="401"/>
      <c r="L122" s="192"/>
    </row>
    <row r="123" spans="1:12" ht="31.5" x14ac:dyDescent="0.25">
      <c r="A123" s="396" t="s">
        <v>129</v>
      </c>
      <c r="B123" s="390">
        <v>902</v>
      </c>
      <c r="C123" s="392" t="s">
        <v>118</v>
      </c>
      <c r="D123" s="392" t="s">
        <v>120</v>
      </c>
      <c r="E123" s="392" t="s">
        <v>859</v>
      </c>
      <c r="F123" s="392" t="s">
        <v>130</v>
      </c>
      <c r="G123" s="27">
        <f>1286.2+100+25+38.7-20</f>
        <v>1429.9</v>
      </c>
      <c r="H123" s="27">
        <v>1419.04</v>
      </c>
      <c r="I123" s="397">
        <f t="shared" si="37"/>
        <v>99.240506329113913</v>
      </c>
      <c r="J123" s="413"/>
      <c r="K123" s="401"/>
      <c r="L123" s="192"/>
    </row>
    <row r="124" spans="1:12" ht="31.7" customHeight="1" x14ac:dyDescent="0.25">
      <c r="A124" s="396" t="s">
        <v>838</v>
      </c>
      <c r="B124" s="390">
        <v>902</v>
      </c>
      <c r="C124" s="392" t="s">
        <v>118</v>
      </c>
      <c r="D124" s="392" t="s">
        <v>120</v>
      </c>
      <c r="E124" s="392" t="s">
        <v>861</v>
      </c>
      <c r="F124" s="392"/>
      <c r="G124" s="397">
        <f>G125</f>
        <v>53.02</v>
      </c>
      <c r="H124" s="397">
        <f t="shared" ref="H124:H125" si="62">H125</f>
        <v>43.088999999999999</v>
      </c>
      <c r="I124" s="397">
        <f t="shared" si="37"/>
        <v>81.269332327423598</v>
      </c>
      <c r="J124" s="413"/>
      <c r="K124" s="401"/>
      <c r="L124" s="192"/>
    </row>
    <row r="125" spans="1:12" s="192" customFormat="1" ht="31.7" customHeight="1" x14ac:dyDescent="0.25">
      <c r="A125" s="396" t="s">
        <v>127</v>
      </c>
      <c r="B125" s="390">
        <v>902</v>
      </c>
      <c r="C125" s="392" t="s">
        <v>118</v>
      </c>
      <c r="D125" s="392" t="s">
        <v>120</v>
      </c>
      <c r="E125" s="392" t="s">
        <v>861</v>
      </c>
      <c r="F125" s="392" t="s">
        <v>128</v>
      </c>
      <c r="G125" s="397">
        <f>G126</f>
        <v>53.02</v>
      </c>
      <c r="H125" s="397">
        <f t="shared" si="62"/>
        <v>43.088999999999999</v>
      </c>
      <c r="I125" s="397">
        <f t="shared" si="37"/>
        <v>81.269332327423598</v>
      </c>
      <c r="J125" s="413"/>
      <c r="K125" s="401"/>
    </row>
    <row r="126" spans="1:12" ht="34.5" customHeight="1" x14ac:dyDescent="0.25">
      <c r="A126" s="396" t="s">
        <v>129</v>
      </c>
      <c r="B126" s="390">
        <v>902</v>
      </c>
      <c r="C126" s="392" t="s">
        <v>118</v>
      </c>
      <c r="D126" s="392" t="s">
        <v>120</v>
      </c>
      <c r="E126" s="392" t="s">
        <v>861</v>
      </c>
      <c r="F126" s="392" t="s">
        <v>130</v>
      </c>
      <c r="G126" s="397">
        <f>46+10-2.98</f>
        <v>53.02</v>
      </c>
      <c r="H126" s="397">
        <v>43.088999999999999</v>
      </c>
      <c r="I126" s="397">
        <f t="shared" si="37"/>
        <v>81.269332327423598</v>
      </c>
      <c r="J126" s="413"/>
      <c r="K126" s="401"/>
      <c r="L126" s="192"/>
    </row>
    <row r="127" spans="1:12" s="192" customFormat="1" ht="17.45" hidden="1" customHeight="1" x14ac:dyDescent="0.25">
      <c r="A127" s="394" t="s">
        <v>1145</v>
      </c>
      <c r="B127" s="391">
        <v>902</v>
      </c>
      <c r="C127" s="395" t="s">
        <v>118</v>
      </c>
      <c r="D127" s="395" t="s">
        <v>264</v>
      </c>
      <c r="E127" s="395"/>
      <c r="F127" s="392"/>
      <c r="G127" s="393">
        <f>G128</f>
        <v>0</v>
      </c>
      <c r="H127" s="393">
        <f t="shared" ref="H127:H129" si="63">H128</f>
        <v>0</v>
      </c>
      <c r="I127" s="397" t="e">
        <f t="shared" si="37"/>
        <v>#DIV/0!</v>
      </c>
      <c r="J127" s="413"/>
      <c r="K127" s="401"/>
    </row>
    <row r="128" spans="1:12" s="192" customFormat="1" ht="21.75" hidden="1" customHeight="1" x14ac:dyDescent="0.25">
      <c r="A128" s="394" t="s">
        <v>141</v>
      </c>
      <c r="B128" s="391">
        <v>902</v>
      </c>
      <c r="C128" s="395" t="s">
        <v>118</v>
      </c>
      <c r="D128" s="395" t="s">
        <v>264</v>
      </c>
      <c r="E128" s="395" t="s">
        <v>865</v>
      </c>
      <c r="F128" s="392"/>
      <c r="G128" s="393">
        <f>G129</f>
        <v>0</v>
      </c>
      <c r="H128" s="393">
        <f t="shared" si="63"/>
        <v>0</v>
      </c>
      <c r="I128" s="397" t="e">
        <f t="shared" si="37"/>
        <v>#DIV/0!</v>
      </c>
      <c r="J128" s="413"/>
      <c r="K128" s="401"/>
    </row>
    <row r="129" spans="1:12" s="192" customFormat="1" ht="34.5" hidden="1" customHeight="1" x14ac:dyDescent="0.25">
      <c r="A129" s="394" t="s">
        <v>869</v>
      </c>
      <c r="B129" s="391">
        <v>902</v>
      </c>
      <c r="C129" s="395" t="s">
        <v>118</v>
      </c>
      <c r="D129" s="395" t="s">
        <v>264</v>
      </c>
      <c r="E129" s="395" t="s">
        <v>864</v>
      </c>
      <c r="F129" s="392"/>
      <c r="G129" s="393">
        <f>G130</f>
        <v>0</v>
      </c>
      <c r="H129" s="393">
        <f t="shared" si="63"/>
        <v>0</v>
      </c>
      <c r="I129" s="397" t="e">
        <f t="shared" si="37"/>
        <v>#DIV/0!</v>
      </c>
      <c r="J129" s="413"/>
      <c r="K129" s="401"/>
    </row>
    <row r="130" spans="1:12" s="192" customFormat="1" ht="18" hidden="1" customHeight="1" x14ac:dyDescent="0.25">
      <c r="A130" s="45" t="s">
        <v>199</v>
      </c>
      <c r="B130" s="390">
        <v>902</v>
      </c>
      <c r="C130" s="392" t="s">
        <v>118</v>
      </c>
      <c r="D130" s="392" t="s">
        <v>264</v>
      </c>
      <c r="E130" s="392" t="s">
        <v>1144</v>
      </c>
      <c r="F130" s="392"/>
      <c r="G130" s="397">
        <f>G131+G133</f>
        <v>0</v>
      </c>
      <c r="H130" s="397">
        <f t="shared" ref="H130" si="64">H131+H133</f>
        <v>0</v>
      </c>
      <c r="I130" s="397" t="e">
        <f t="shared" si="37"/>
        <v>#DIV/0!</v>
      </c>
      <c r="J130" s="413"/>
      <c r="K130" s="401"/>
    </row>
    <row r="131" spans="1:12" s="192" customFormat="1" ht="69.75" hidden="1" customHeight="1" x14ac:dyDescent="0.25">
      <c r="A131" s="396" t="s">
        <v>127</v>
      </c>
      <c r="B131" s="390">
        <v>902</v>
      </c>
      <c r="C131" s="392" t="s">
        <v>118</v>
      </c>
      <c r="D131" s="392" t="s">
        <v>264</v>
      </c>
      <c r="E131" s="392" t="s">
        <v>1144</v>
      </c>
      <c r="F131" s="392" t="s">
        <v>128</v>
      </c>
      <c r="G131" s="397">
        <f>G132</f>
        <v>0</v>
      </c>
      <c r="H131" s="397">
        <f t="shared" ref="H131" si="65">H132</f>
        <v>0</v>
      </c>
      <c r="I131" s="397" t="e">
        <f t="shared" si="37"/>
        <v>#DIV/0!</v>
      </c>
      <c r="J131" s="413"/>
      <c r="K131" s="401"/>
    </row>
    <row r="132" spans="1:12" s="192" customFormat="1" ht="34.5" hidden="1" customHeight="1" x14ac:dyDescent="0.25">
      <c r="A132" s="396" t="s">
        <v>129</v>
      </c>
      <c r="B132" s="390">
        <v>902</v>
      </c>
      <c r="C132" s="392" t="s">
        <v>118</v>
      </c>
      <c r="D132" s="392" t="s">
        <v>264</v>
      </c>
      <c r="E132" s="392" t="s">
        <v>1144</v>
      </c>
      <c r="F132" s="392" t="s">
        <v>130</v>
      </c>
      <c r="G132" s="397">
        <v>0</v>
      </c>
      <c r="H132" s="397">
        <v>0</v>
      </c>
      <c r="I132" s="397" t="e">
        <f t="shared" si="37"/>
        <v>#DIV/0!</v>
      </c>
      <c r="J132" s="413"/>
      <c r="K132" s="401"/>
    </row>
    <row r="133" spans="1:12" s="192" customFormat="1" ht="34.5" hidden="1" customHeight="1" x14ac:dyDescent="0.25">
      <c r="A133" s="396" t="s">
        <v>198</v>
      </c>
      <c r="B133" s="390">
        <v>902</v>
      </c>
      <c r="C133" s="392" t="s">
        <v>118</v>
      </c>
      <c r="D133" s="392" t="s">
        <v>264</v>
      </c>
      <c r="E133" s="392" t="s">
        <v>1144</v>
      </c>
      <c r="F133" s="392" t="s">
        <v>132</v>
      </c>
      <c r="G133" s="397">
        <f>G134</f>
        <v>0</v>
      </c>
      <c r="H133" s="397">
        <f t="shared" ref="H133" si="66">H134</f>
        <v>0</v>
      </c>
      <c r="I133" s="397" t="e">
        <f t="shared" si="37"/>
        <v>#DIV/0!</v>
      </c>
      <c r="J133" s="413"/>
      <c r="K133" s="401"/>
    </row>
    <row r="134" spans="1:12" s="192" customFormat="1" ht="34.5" hidden="1" customHeight="1" x14ac:dyDescent="0.25">
      <c r="A134" s="396" t="s">
        <v>133</v>
      </c>
      <c r="B134" s="390">
        <v>902</v>
      </c>
      <c r="C134" s="392" t="s">
        <v>118</v>
      </c>
      <c r="D134" s="392" t="s">
        <v>264</v>
      </c>
      <c r="E134" s="392" t="s">
        <v>1144</v>
      </c>
      <c r="F134" s="392" t="s">
        <v>134</v>
      </c>
      <c r="G134" s="397">
        <v>0</v>
      </c>
      <c r="H134" s="397">
        <v>0</v>
      </c>
      <c r="I134" s="397" t="e">
        <f t="shared" si="37"/>
        <v>#DIV/0!</v>
      </c>
      <c r="J134" s="413"/>
      <c r="K134" s="401"/>
    </row>
    <row r="135" spans="1:12" s="192" customFormat="1" ht="31.5" x14ac:dyDescent="0.25">
      <c r="A135" s="396" t="s">
        <v>1677</v>
      </c>
      <c r="B135" s="390">
        <v>902</v>
      </c>
      <c r="C135" s="392" t="s">
        <v>118</v>
      </c>
      <c r="D135" s="392" t="s">
        <v>120</v>
      </c>
      <c r="E135" s="392" t="s">
        <v>1678</v>
      </c>
      <c r="F135" s="392"/>
      <c r="G135" s="397">
        <f>G136</f>
        <v>27.593299999999999</v>
      </c>
      <c r="H135" s="397">
        <f t="shared" ref="H135:H136" si="67">H136</f>
        <v>27.593</v>
      </c>
      <c r="I135" s="397">
        <f t="shared" si="37"/>
        <v>99.99891277955156</v>
      </c>
      <c r="J135" s="413"/>
      <c r="K135" s="401"/>
    </row>
    <row r="136" spans="1:12" s="192" customFormat="1" ht="63" x14ac:dyDescent="0.25">
      <c r="A136" s="396" t="s">
        <v>127</v>
      </c>
      <c r="B136" s="390">
        <v>902</v>
      </c>
      <c r="C136" s="392" t="s">
        <v>118</v>
      </c>
      <c r="D136" s="392" t="s">
        <v>120</v>
      </c>
      <c r="E136" s="392" t="s">
        <v>1678</v>
      </c>
      <c r="F136" s="392" t="s">
        <v>128</v>
      </c>
      <c r="G136" s="397">
        <f>G137</f>
        <v>27.593299999999999</v>
      </c>
      <c r="H136" s="397">
        <f t="shared" si="67"/>
        <v>27.593</v>
      </c>
      <c r="I136" s="397">
        <f t="shared" si="37"/>
        <v>99.99891277955156</v>
      </c>
      <c r="J136" s="413"/>
      <c r="K136" s="401"/>
    </row>
    <row r="137" spans="1:12" s="192" customFormat="1" ht="31.5" x14ac:dyDescent="0.25">
      <c r="A137" s="396" t="s">
        <v>129</v>
      </c>
      <c r="B137" s="478">
        <v>902</v>
      </c>
      <c r="C137" s="479" t="s">
        <v>118</v>
      </c>
      <c r="D137" s="479" t="s">
        <v>120</v>
      </c>
      <c r="E137" s="479" t="s">
        <v>1678</v>
      </c>
      <c r="F137" s="479" t="s">
        <v>130</v>
      </c>
      <c r="G137" s="480">
        <v>27.593299999999999</v>
      </c>
      <c r="H137" s="480">
        <v>27.593</v>
      </c>
      <c r="I137" s="397">
        <f t="shared" si="37"/>
        <v>99.99891277955156</v>
      </c>
      <c r="J137" s="413"/>
      <c r="K137" s="401"/>
    </row>
    <row r="138" spans="1:12" ht="15.75" x14ac:dyDescent="0.25">
      <c r="A138" s="394" t="s">
        <v>139</v>
      </c>
      <c r="B138" s="391">
        <v>902</v>
      </c>
      <c r="C138" s="395" t="s">
        <v>118</v>
      </c>
      <c r="D138" s="395" t="s">
        <v>140</v>
      </c>
      <c r="E138" s="395"/>
      <c r="F138" s="395"/>
      <c r="G138" s="393">
        <f>G156+G165+G139+G170</f>
        <v>11481.06223</v>
      </c>
      <c r="H138" s="393">
        <f t="shared" ref="H138" si="68">H156+H165+H139+H170</f>
        <v>11413.091</v>
      </c>
      <c r="I138" s="393">
        <f t="shared" ref="I138:I201" si="69">H138/G138*100</f>
        <v>99.407970894693094</v>
      </c>
      <c r="J138" s="413"/>
      <c r="K138" s="401"/>
      <c r="L138" s="192"/>
    </row>
    <row r="139" spans="1:12" s="192" customFormat="1" ht="19.5" customHeight="1" x14ac:dyDescent="0.25">
      <c r="A139" s="394" t="s">
        <v>141</v>
      </c>
      <c r="B139" s="391">
        <v>902</v>
      </c>
      <c r="C139" s="395" t="s">
        <v>118</v>
      </c>
      <c r="D139" s="395" t="s">
        <v>140</v>
      </c>
      <c r="E139" s="395" t="s">
        <v>865</v>
      </c>
      <c r="F139" s="395"/>
      <c r="G139" s="393">
        <f>G144+G140</f>
        <v>11452.90223</v>
      </c>
      <c r="H139" s="393">
        <f t="shared" ref="H139" si="70">H144+H140</f>
        <v>11384.931</v>
      </c>
      <c r="I139" s="393">
        <f t="shared" si="69"/>
        <v>99.406515233999343</v>
      </c>
      <c r="J139" s="413"/>
      <c r="K139" s="401"/>
    </row>
    <row r="140" spans="1:12" s="192" customFormat="1" ht="30.6" customHeight="1" x14ac:dyDescent="0.25">
      <c r="A140" s="394" t="s">
        <v>869</v>
      </c>
      <c r="B140" s="391">
        <v>902</v>
      </c>
      <c r="C140" s="395" t="s">
        <v>118</v>
      </c>
      <c r="D140" s="395" t="s">
        <v>140</v>
      </c>
      <c r="E140" s="395" t="s">
        <v>864</v>
      </c>
      <c r="F140" s="395"/>
      <c r="G140" s="393">
        <f>G141</f>
        <v>5000</v>
      </c>
      <c r="H140" s="393">
        <f t="shared" ref="H140:H142" si="71">H141</f>
        <v>5000</v>
      </c>
      <c r="I140" s="393">
        <f t="shared" si="69"/>
        <v>100</v>
      </c>
      <c r="J140" s="413"/>
      <c r="K140" s="401"/>
    </row>
    <row r="141" spans="1:12" s="192" customFormat="1" ht="19.5" customHeight="1" x14ac:dyDescent="0.25">
      <c r="A141" s="396" t="s">
        <v>199</v>
      </c>
      <c r="B141" s="390">
        <v>902</v>
      </c>
      <c r="C141" s="392" t="s">
        <v>118</v>
      </c>
      <c r="D141" s="392" t="s">
        <v>140</v>
      </c>
      <c r="E141" s="392" t="s">
        <v>1144</v>
      </c>
      <c r="F141" s="392"/>
      <c r="G141" s="397">
        <f>G142</f>
        <v>5000</v>
      </c>
      <c r="H141" s="397">
        <f t="shared" si="71"/>
        <v>5000</v>
      </c>
      <c r="I141" s="397">
        <f t="shared" si="69"/>
        <v>100</v>
      </c>
      <c r="J141" s="413"/>
      <c r="K141" s="401"/>
    </row>
    <row r="142" spans="1:12" s="192" customFormat="1" ht="19.5" customHeight="1" x14ac:dyDescent="0.25">
      <c r="A142" s="396" t="s">
        <v>135</v>
      </c>
      <c r="B142" s="390">
        <v>902</v>
      </c>
      <c r="C142" s="392" t="s">
        <v>118</v>
      </c>
      <c r="D142" s="392" t="s">
        <v>140</v>
      </c>
      <c r="E142" s="392" t="s">
        <v>1144</v>
      </c>
      <c r="F142" s="392" t="s">
        <v>145</v>
      </c>
      <c r="G142" s="397">
        <f>G143</f>
        <v>5000</v>
      </c>
      <c r="H142" s="397">
        <f t="shared" si="71"/>
        <v>5000</v>
      </c>
      <c r="I142" s="397">
        <f t="shared" si="69"/>
        <v>100</v>
      </c>
      <c r="J142" s="413"/>
      <c r="K142" s="401"/>
    </row>
    <row r="143" spans="1:12" s="192" customFormat="1" ht="19.5" customHeight="1" x14ac:dyDescent="0.25">
      <c r="A143" s="396" t="s">
        <v>568</v>
      </c>
      <c r="B143" s="390">
        <v>902</v>
      </c>
      <c r="C143" s="392" t="s">
        <v>118</v>
      </c>
      <c r="D143" s="392" t="s">
        <v>140</v>
      </c>
      <c r="E143" s="392" t="s">
        <v>1144</v>
      </c>
      <c r="F143" s="392" t="s">
        <v>138</v>
      </c>
      <c r="G143" s="397">
        <v>5000</v>
      </c>
      <c r="H143" s="397">
        <v>5000</v>
      </c>
      <c r="I143" s="397">
        <f t="shared" si="69"/>
        <v>100</v>
      </c>
      <c r="J143" s="413"/>
      <c r="K143" s="401"/>
    </row>
    <row r="144" spans="1:12" s="192" customFormat="1" ht="34.5" customHeight="1" x14ac:dyDescent="0.25">
      <c r="A144" s="394" t="s">
        <v>921</v>
      </c>
      <c r="B144" s="391">
        <v>902</v>
      </c>
      <c r="C144" s="395" t="s">
        <v>118</v>
      </c>
      <c r="D144" s="395" t="s">
        <v>140</v>
      </c>
      <c r="E144" s="395" t="s">
        <v>866</v>
      </c>
      <c r="F144" s="395"/>
      <c r="G144" s="393">
        <f>G145+G150+G153</f>
        <v>6452.9022299999997</v>
      </c>
      <c r="H144" s="393">
        <f t="shared" ref="H144" si="72">H145+H150+H153</f>
        <v>6384.9309999999996</v>
      </c>
      <c r="I144" s="393">
        <f t="shared" si="69"/>
        <v>98.946656441128184</v>
      </c>
      <c r="J144" s="413"/>
      <c r="K144" s="401"/>
    </row>
    <row r="145" spans="1:16" s="192" customFormat="1" ht="21.75" customHeight="1" x14ac:dyDescent="0.25">
      <c r="A145" s="396" t="s">
        <v>927</v>
      </c>
      <c r="B145" s="390">
        <v>902</v>
      </c>
      <c r="C145" s="392" t="s">
        <v>118</v>
      </c>
      <c r="D145" s="392" t="s">
        <v>140</v>
      </c>
      <c r="E145" s="392" t="s">
        <v>867</v>
      </c>
      <c r="F145" s="392"/>
      <c r="G145" s="397">
        <f>G146+G148</f>
        <v>6024.4852300000002</v>
      </c>
      <c r="H145" s="397">
        <f t="shared" ref="H145" si="73">H146+H148</f>
        <v>5956.61</v>
      </c>
      <c r="I145" s="397">
        <f t="shared" si="69"/>
        <v>98.873343905600379</v>
      </c>
      <c r="J145" s="413"/>
      <c r="K145" s="401"/>
    </row>
    <row r="146" spans="1:16" s="192" customFormat="1" ht="66.75" customHeight="1" x14ac:dyDescent="0.25">
      <c r="A146" s="396" t="s">
        <v>127</v>
      </c>
      <c r="B146" s="390">
        <v>902</v>
      </c>
      <c r="C146" s="392" t="s">
        <v>118</v>
      </c>
      <c r="D146" s="392" t="s">
        <v>140</v>
      </c>
      <c r="E146" s="392" t="s">
        <v>867</v>
      </c>
      <c r="F146" s="392" t="s">
        <v>128</v>
      </c>
      <c r="G146" s="397">
        <f>G147</f>
        <v>4401</v>
      </c>
      <c r="H146" s="397">
        <f t="shared" ref="H146" si="74">H147</f>
        <v>4359.2929999999997</v>
      </c>
      <c r="I146" s="397">
        <f t="shared" si="69"/>
        <v>99.052329016132688</v>
      </c>
      <c r="J146" s="413"/>
      <c r="K146" s="401"/>
    </row>
    <row r="147" spans="1:16" s="192" customFormat="1" ht="20.25" customHeight="1" x14ac:dyDescent="0.25">
      <c r="A147" s="396" t="s">
        <v>208</v>
      </c>
      <c r="B147" s="390">
        <v>902</v>
      </c>
      <c r="C147" s="392" t="s">
        <v>118</v>
      </c>
      <c r="D147" s="392" t="s">
        <v>140</v>
      </c>
      <c r="E147" s="392" t="s">
        <v>867</v>
      </c>
      <c r="F147" s="392" t="s">
        <v>209</v>
      </c>
      <c r="G147" s="27">
        <f>4501-100</f>
        <v>4401</v>
      </c>
      <c r="H147" s="27">
        <v>4359.2929999999997</v>
      </c>
      <c r="I147" s="397">
        <f t="shared" si="69"/>
        <v>99.052329016132688</v>
      </c>
      <c r="J147" s="413"/>
      <c r="K147" s="401"/>
    </row>
    <row r="148" spans="1:16" s="192" customFormat="1" ht="39.200000000000003" customHeight="1" x14ac:dyDescent="0.25">
      <c r="A148" s="396" t="s">
        <v>198</v>
      </c>
      <c r="B148" s="390">
        <v>902</v>
      </c>
      <c r="C148" s="392" t="s">
        <v>118</v>
      </c>
      <c r="D148" s="392" t="s">
        <v>140</v>
      </c>
      <c r="E148" s="392" t="s">
        <v>867</v>
      </c>
      <c r="F148" s="392" t="s">
        <v>132</v>
      </c>
      <c r="G148" s="397">
        <f>G149</f>
        <v>1623.4852299999998</v>
      </c>
      <c r="H148" s="397">
        <f t="shared" ref="H148" si="75">H149</f>
        <v>1597.317</v>
      </c>
      <c r="I148" s="397">
        <f t="shared" si="69"/>
        <v>98.38814486781628</v>
      </c>
      <c r="J148" s="413"/>
      <c r="K148" s="401"/>
    </row>
    <row r="149" spans="1:16" s="192" customFormat="1" ht="39.200000000000003" customHeight="1" x14ac:dyDescent="0.25">
      <c r="A149" s="396" t="s">
        <v>133</v>
      </c>
      <c r="B149" s="390">
        <v>902</v>
      </c>
      <c r="C149" s="392" t="s">
        <v>118</v>
      </c>
      <c r="D149" s="392" t="s">
        <v>140</v>
      </c>
      <c r="E149" s="392" t="s">
        <v>867</v>
      </c>
      <c r="F149" s="392" t="s">
        <v>134</v>
      </c>
      <c r="G149" s="27">
        <f>1174.7+113.8-77.5-11-972-15.9+972+7.3+8.6+134+162+198+10-56.48-24.03477</f>
        <v>1623.4852299999998</v>
      </c>
      <c r="H149" s="27">
        <v>1597.317</v>
      </c>
      <c r="I149" s="397">
        <f t="shared" si="69"/>
        <v>98.38814486781628</v>
      </c>
      <c r="J149" s="413"/>
      <c r="K149" s="401"/>
    </row>
    <row r="150" spans="1:16" s="192" customFormat="1" ht="28.5" customHeight="1" x14ac:dyDescent="0.25">
      <c r="A150" s="396" t="s">
        <v>838</v>
      </c>
      <c r="B150" s="390">
        <v>902</v>
      </c>
      <c r="C150" s="392" t="s">
        <v>118</v>
      </c>
      <c r="D150" s="392" t="s">
        <v>140</v>
      </c>
      <c r="E150" s="392" t="s">
        <v>868</v>
      </c>
      <c r="F150" s="392"/>
      <c r="G150" s="397">
        <f>G151</f>
        <v>331.36</v>
      </c>
      <c r="H150" s="397">
        <f t="shared" ref="H150:H151" si="76">H151</f>
        <v>331.26400000000001</v>
      </c>
      <c r="I150" s="397">
        <f t="shared" si="69"/>
        <v>99.97102848865282</v>
      </c>
      <c r="J150" s="413"/>
      <c r="K150" s="401"/>
    </row>
    <row r="151" spans="1:16" s="192" customFormat="1" ht="63" customHeight="1" x14ac:dyDescent="0.25">
      <c r="A151" s="396" t="s">
        <v>127</v>
      </c>
      <c r="B151" s="390">
        <v>902</v>
      </c>
      <c r="C151" s="392" t="s">
        <v>118</v>
      </c>
      <c r="D151" s="392" t="s">
        <v>140</v>
      </c>
      <c r="E151" s="392" t="s">
        <v>868</v>
      </c>
      <c r="F151" s="392" t="s">
        <v>128</v>
      </c>
      <c r="G151" s="397">
        <f>G152</f>
        <v>331.36</v>
      </c>
      <c r="H151" s="397">
        <f t="shared" si="76"/>
        <v>331.26400000000001</v>
      </c>
      <c r="I151" s="397">
        <f t="shared" si="69"/>
        <v>99.97102848865282</v>
      </c>
      <c r="J151" s="413"/>
      <c r="K151" s="401"/>
    </row>
    <row r="152" spans="1:16" s="192" customFormat="1" ht="23.25" customHeight="1" x14ac:dyDescent="0.25">
      <c r="A152" s="396" t="s">
        <v>208</v>
      </c>
      <c r="B152" s="390">
        <v>902</v>
      </c>
      <c r="C152" s="392" t="s">
        <v>118</v>
      </c>
      <c r="D152" s="392" t="s">
        <v>140</v>
      </c>
      <c r="E152" s="392" t="s">
        <v>868</v>
      </c>
      <c r="F152" s="392" t="s">
        <v>209</v>
      </c>
      <c r="G152" s="397">
        <f>128+79+18.025-18.025+43+81.36</f>
        <v>331.36</v>
      </c>
      <c r="H152" s="397">
        <v>331.26400000000001</v>
      </c>
      <c r="I152" s="397">
        <f t="shared" si="69"/>
        <v>99.97102848865282</v>
      </c>
      <c r="J152" s="413"/>
      <c r="K152" s="401"/>
      <c r="L152" s="424"/>
      <c r="N152" s="424"/>
      <c r="P152" s="424"/>
    </row>
    <row r="153" spans="1:16" s="192" customFormat="1" ht="31.5" x14ac:dyDescent="0.25">
      <c r="A153" s="396" t="s">
        <v>1677</v>
      </c>
      <c r="B153" s="390">
        <v>902</v>
      </c>
      <c r="C153" s="392" t="s">
        <v>118</v>
      </c>
      <c r="D153" s="392" t="s">
        <v>140</v>
      </c>
      <c r="E153" s="392" t="s">
        <v>1679</v>
      </c>
      <c r="F153" s="392"/>
      <c r="G153" s="397">
        <f>G154</f>
        <v>97.057000000000002</v>
      </c>
      <c r="H153" s="397">
        <f t="shared" ref="H153:H154" si="77">H154</f>
        <v>97.057000000000002</v>
      </c>
      <c r="I153" s="397">
        <f t="shared" si="69"/>
        <v>100</v>
      </c>
      <c r="J153" s="413"/>
      <c r="K153" s="401"/>
      <c r="L153" s="424"/>
      <c r="N153" s="424"/>
      <c r="P153" s="424"/>
    </row>
    <row r="154" spans="1:16" s="192" customFormat="1" ht="63" x14ac:dyDescent="0.25">
      <c r="A154" s="396" t="s">
        <v>127</v>
      </c>
      <c r="B154" s="390">
        <v>902</v>
      </c>
      <c r="C154" s="392" t="s">
        <v>118</v>
      </c>
      <c r="D154" s="392" t="s">
        <v>140</v>
      </c>
      <c r="E154" s="392" t="s">
        <v>1679</v>
      </c>
      <c r="F154" s="392" t="s">
        <v>128</v>
      </c>
      <c r="G154" s="397">
        <f>G155</f>
        <v>97.057000000000002</v>
      </c>
      <c r="H154" s="397">
        <f t="shared" si="77"/>
        <v>97.057000000000002</v>
      </c>
      <c r="I154" s="397">
        <f t="shared" si="69"/>
        <v>100</v>
      </c>
      <c r="J154" s="413"/>
      <c r="K154" s="401"/>
      <c r="L154" s="424"/>
      <c r="N154" s="424"/>
      <c r="P154" s="424"/>
    </row>
    <row r="155" spans="1:16" s="192" customFormat="1" ht="15.75" x14ac:dyDescent="0.25">
      <c r="A155" s="396" t="s">
        <v>208</v>
      </c>
      <c r="B155" s="390">
        <v>902</v>
      </c>
      <c r="C155" s="392" t="s">
        <v>118</v>
      </c>
      <c r="D155" s="392" t="s">
        <v>140</v>
      </c>
      <c r="E155" s="392" t="s">
        <v>1679</v>
      </c>
      <c r="F155" s="392" t="s">
        <v>209</v>
      </c>
      <c r="G155" s="397">
        <v>97.057000000000002</v>
      </c>
      <c r="H155" s="397">
        <v>97.057000000000002</v>
      </c>
      <c r="I155" s="397">
        <f t="shared" si="69"/>
        <v>100</v>
      </c>
      <c r="J155" s="413"/>
      <c r="K155" s="401"/>
      <c r="L155" s="424"/>
      <c r="N155" s="424"/>
      <c r="P155" s="424"/>
    </row>
    <row r="156" spans="1:16" ht="47.25" x14ac:dyDescent="0.25">
      <c r="A156" s="400" t="s">
        <v>1340</v>
      </c>
      <c r="B156" s="391">
        <v>902</v>
      </c>
      <c r="C156" s="395" t="s">
        <v>118</v>
      </c>
      <c r="D156" s="395" t="s">
        <v>140</v>
      </c>
      <c r="E156" s="395" t="s">
        <v>705</v>
      </c>
      <c r="F156" s="403"/>
      <c r="G156" s="393">
        <f>G157+G161</f>
        <v>15</v>
      </c>
      <c r="H156" s="393">
        <f t="shared" ref="H156" si="78">H157+H161</f>
        <v>15</v>
      </c>
      <c r="I156" s="393">
        <f t="shared" si="69"/>
        <v>100</v>
      </c>
      <c r="J156" s="413"/>
      <c r="K156" s="401"/>
      <c r="L156" s="192"/>
    </row>
    <row r="157" spans="1:16" s="192" customFormat="1" ht="47.25" hidden="1" customHeight="1" x14ac:dyDescent="0.25">
      <c r="A157" s="195" t="s">
        <v>845</v>
      </c>
      <c r="B157" s="391">
        <v>902</v>
      </c>
      <c r="C157" s="395" t="s">
        <v>118</v>
      </c>
      <c r="D157" s="395" t="s">
        <v>140</v>
      </c>
      <c r="E157" s="395" t="s">
        <v>851</v>
      </c>
      <c r="F157" s="403"/>
      <c r="G157" s="393">
        <f>G158</f>
        <v>0</v>
      </c>
      <c r="H157" s="393">
        <f t="shared" ref="H157:H159" si="79">H158</f>
        <v>0</v>
      </c>
      <c r="I157" s="393" t="e">
        <f t="shared" si="69"/>
        <v>#DIV/0!</v>
      </c>
      <c r="J157" s="413"/>
      <c r="K157" s="401"/>
    </row>
    <row r="158" spans="1:16" ht="36.75" hidden="1" customHeight="1" x14ac:dyDescent="0.25">
      <c r="A158" s="98" t="s">
        <v>776</v>
      </c>
      <c r="B158" s="390">
        <v>902</v>
      </c>
      <c r="C158" s="392" t="s">
        <v>118</v>
      </c>
      <c r="D158" s="392" t="s">
        <v>140</v>
      </c>
      <c r="E158" s="392" t="s">
        <v>846</v>
      </c>
      <c r="F158" s="398"/>
      <c r="G158" s="397">
        <f>G159</f>
        <v>0</v>
      </c>
      <c r="H158" s="397">
        <f t="shared" si="79"/>
        <v>0</v>
      </c>
      <c r="I158" s="393" t="e">
        <f t="shared" si="69"/>
        <v>#DIV/0!</v>
      </c>
      <c r="J158" s="413"/>
      <c r="K158" s="401"/>
      <c r="L158" s="192"/>
    </row>
    <row r="159" spans="1:16" ht="31.5" hidden="1" x14ac:dyDescent="0.25">
      <c r="A159" s="396" t="s">
        <v>131</v>
      </c>
      <c r="B159" s="390">
        <v>902</v>
      </c>
      <c r="C159" s="392" t="s">
        <v>118</v>
      </c>
      <c r="D159" s="392" t="s">
        <v>140</v>
      </c>
      <c r="E159" s="392" t="s">
        <v>846</v>
      </c>
      <c r="F159" s="398" t="s">
        <v>132</v>
      </c>
      <c r="G159" s="397">
        <f>G160</f>
        <v>0</v>
      </c>
      <c r="H159" s="397">
        <f t="shared" si="79"/>
        <v>0</v>
      </c>
      <c r="I159" s="393" t="e">
        <f t="shared" si="69"/>
        <v>#DIV/0!</v>
      </c>
      <c r="J159" s="413"/>
      <c r="K159" s="401"/>
      <c r="L159" s="192"/>
    </row>
    <row r="160" spans="1:16" ht="31.5" hidden="1" x14ac:dyDescent="0.25">
      <c r="A160" s="396" t="s">
        <v>133</v>
      </c>
      <c r="B160" s="390">
        <v>902</v>
      </c>
      <c r="C160" s="392" t="s">
        <v>118</v>
      </c>
      <c r="D160" s="392" t="s">
        <v>140</v>
      </c>
      <c r="E160" s="392" t="s">
        <v>846</v>
      </c>
      <c r="F160" s="398" t="s">
        <v>134</v>
      </c>
      <c r="G160" s="397">
        <f>28-28</f>
        <v>0</v>
      </c>
      <c r="H160" s="397">
        <f t="shared" ref="H160" si="80">28-28</f>
        <v>0</v>
      </c>
      <c r="I160" s="393" t="e">
        <f t="shared" si="69"/>
        <v>#DIV/0!</v>
      </c>
      <c r="J160" s="413"/>
      <c r="K160" s="401"/>
      <c r="L160" s="192"/>
    </row>
    <row r="161" spans="1:12" s="192" customFormat="1" ht="34.5" customHeight="1" x14ac:dyDescent="0.25">
      <c r="A161" s="402" t="s">
        <v>1022</v>
      </c>
      <c r="B161" s="391">
        <v>902</v>
      </c>
      <c r="C161" s="395" t="s">
        <v>118</v>
      </c>
      <c r="D161" s="395" t="s">
        <v>140</v>
      </c>
      <c r="E161" s="395" t="s">
        <v>852</v>
      </c>
      <c r="F161" s="403"/>
      <c r="G161" s="393">
        <f>G162</f>
        <v>15</v>
      </c>
      <c r="H161" s="393">
        <f t="shared" ref="H161:H163" si="81">H162</f>
        <v>15</v>
      </c>
      <c r="I161" s="393">
        <f t="shared" si="69"/>
        <v>100</v>
      </c>
      <c r="J161" s="413"/>
      <c r="K161" s="401"/>
    </row>
    <row r="162" spans="1:12" ht="39.200000000000003" customHeight="1" x14ac:dyDescent="0.25">
      <c r="A162" s="98" t="s">
        <v>777</v>
      </c>
      <c r="B162" s="390">
        <v>902</v>
      </c>
      <c r="C162" s="392" t="s">
        <v>118</v>
      </c>
      <c r="D162" s="392" t="s">
        <v>140</v>
      </c>
      <c r="E162" s="392" t="s">
        <v>847</v>
      </c>
      <c r="F162" s="398"/>
      <c r="G162" s="397">
        <f>G163</f>
        <v>15</v>
      </c>
      <c r="H162" s="397">
        <f t="shared" si="81"/>
        <v>15</v>
      </c>
      <c r="I162" s="397">
        <f t="shared" si="69"/>
        <v>100</v>
      </c>
      <c r="J162" s="413"/>
      <c r="K162" s="401"/>
      <c r="L162" s="192"/>
    </row>
    <row r="163" spans="1:12" ht="31.7" customHeight="1" x14ac:dyDescent="0.25">
      <c r="A163" s="396" t="s">
        <v>131</v>
      </c>
      <c r="B163" s="390">
        <v>902</v>
      </c>
      <c r="C163" s="392" t="s">
        <v>118</v>
      </c>
      <c r="D163" s="392" t="s">
        <v>140</v>
      </c>
      <c r="E163" s="392" t="s">
        <v>847</v>
      </c>
      <c r="F163" s="398" t="s">
        <v>132</v>
      </c>
      <c r="G163" s="397">
        <f>G164</f>
        <v>15</v>
      </c>
      <c r="H163" s="397">
        <f t="shared" si="81"/>
        <v>15</v>
      </c>
      <c r="I163" s="397">
        <f t="shared" si="69"/>
        <v>100</v>
      </c>
      <c r="J163" s="413"/>
      <c r="K163" s="401"/>
      <c r="L163" s="192"/>
    </row>
    <row r="164" spans="1:12" ht="32.25" customHeight="1" x14ac:dyDescent="0.25">
      <c r="A164" s="396" t="s">
        <v>133</v>
      </c>
      <c r="B164" s="390">
        <v>902</v>
      </c>
      <c r="C164" s="392" t="s">
        <v>118</v>
      </c>
      <c r="D164" s="392" t="s">
        <v>140</v>
      </c>
      <c r="E164" s="392" t="s">
        <v>847</v>
      </c>
      <c r="F164" s="398" t="s">
        <v>134</v>
      </c>
      <c r="G164" s="397">
        <v>15</v>
      </c>
      <c r="H164" s="397">
        <v>15</v>
      </c>
      <c r="I164" s="397">
        <f t="shared" si="69"/>
        <v>100</v>
      </c>
      <c r="J164" s="413"/>
      <c r="K164" s="401"/>
      <c r="L164" s="192"/>
    </row>
    <row r="165" spans="1:12" ht="68.25" hidden="1" customHeight="1" x14ac:dyDescent="0.25">
      <c r="A165" s="400" t="s">
        <v>1341</v>
      </c>
      <c r="B165" s="391">
        <v>902</v>
      </c>
      <c r="C165" s="8" t="s">
        <v>118</v>
      </c>
      <c r="D165" s="8" t="s">
        <v>140</v>
      </c>
      <c r="E165" s="187" t="s">
        <v>816</v>
      </c>
      <c r="F165" s="8"/>
      <c r="G165" s="393">
        <f>G167</f>
        <v>0</v>
      </c>
      <c r="H165" s="393">
        <f t="shared" ref="H165" si="82">H167</f>
        <v>0</v>
      </c>
      <c r="I165" s="397" t="e">
        <f t="shared" si="69"/>
        <v>#DIV/0!</v>
      </c>
      <c r="J165" s="413"/>
      <c r="K165" s="401"/>
      <c r="L165" s="192"/>
    </row>
    <row r="166" spans="1:12" s="192" customFormat="1" ht="35.450000000000003" hidden="1" customHeight="1" x14ac:dyDescent="0.25">
      <c r="A166" s="197" t="s">
        <v>853</v>
      </c>
      <c r="B166" s="391">
        <v>902</v>
      </c>
      <c r="C166" s="8" t="s">
        <v>118</v>
      </c>
      <c r="D166" s="8" t="s">
        <v>140</v>
      </c>
      <c r="E166" s="187" t="s">
        <v>1076</v>
      </c>
      <c r="F166" s="8"/>
      <c r="G166" s="393">
        <f>G167</f>
        <v>0</v>
      </c>
      <c r="H166" s="393">
        <f t="shared" ref="H166:H168" si="83">H167</f>
        <v>0</v>
      </c>
      <c r="I166" s="397" t="e">
        <f t="shared" si="69"/>
        <v>#DIV/0!</v>
      </c>
      <c r="J166" s="413"/>
      <c r="K166" s="401"/>
    </row>
    <row r="167" spans="1:12" ht="31.7" hidden="1" customHeight="1" x14ac:dyDescent="0.25">
      <c r="A167" s="97" t="s">
        <v>171</v>
      </c>
      <c r="B167" s="390">
        <v>902</v>
      </c>
      <c r="C167" s="9" t="s">
        <v>118</v>
      </c>
      <c r="D167" s="9" t="s">
        <v>140</v>
      </c>
      <c r="E167" s="5" t="s">
        <v>854</v>
      </c>
      <c r="F167" s="9"/>
      <c r="G167" s="397">
        <f>G168</f>
        <v>0</v>
      </c>
      <c r="H167" s="397">
        <f t="shared" si="83"/>
        <v>0</v>
      </c>
      <c r="I167" s="397" t="e">
        <f t="shared" si="69"/>
        <v>#DIV/0!</v>
      </c>
      <c r="J167" s="413"/>
      <c r="K167" s="401"/>
      <c r="L167" s="192"/>
    </row>
    <row r="168" spans="1:12" ht="35.450000000000003" hidden="1" customHeight="1" x14ac:dyDescent="0.25">
      <c r="A168" s="396" t="s">
        <v>131</v>
      </c>
      <c r="B168" s="390">
        <v>902</v>
      </c>
      <c r="C168" s="9" t="s">
        <v>118</v>
      </c>
      <c r="D168" s="9" t="s">
        <v>140</v>
      </c>
      <c r="E168" s="5" t="s">
        <v>854</v>
      </c>
      <c r="F168" s="9" t="s">
        <v>132</v>
      </c>
      <c r="G168" s="397">
        <f>G169</f>
        <v>0</v>
      </c>
      <c r="H168" s="397">
        <f t="shared" si="83"/>
        <v>0</v>
      </c>
      <c r="I168" s="397" t="e">
        <f t="shared" si="69"/>
        <v>#DIV/0!</v>
      </c>
      <c r="J168" s="413"/>
      <c r="K168" s="401"/>
      <c r="L168" s="192"/>
    </row>
    <row r="169" spans="1:12" ht="33" hidden="1" customHeight="1" x14ac:dyDescent="0.25">
      <c r="A169" s="396" t="s">
        <v>133</v>
      </c>
      <c r="B169" s="390">
        <v>902</v>
      </c>
      <c r="C169" s="9" t="s">
        <v>118</v>
      </c>
      <c r="D169" s="9" t="s">
        <v>140</v>
      </c>
      <c r="E169" s="5" t="s">
        <v>854</v>
      </c>
      <c r="F169" s="9" t="s">
        <v>134</v>
      </c>
      <c r="G169" s="397">
        <f>40-40</f>
        <v>0</v>
      </c>
      <c r="H169" s="397">
        <f t="shared" ref="H169" si="84">40-40</f>
        <v>0</v>
      </c>
      <c r="I169" s="397" t="e">
        <f t="shared" si="69"/>
        <v>#DIV/0!</v>
      </c>
      <c r="J169" s="413"/>
      <c r="K169" s="401"/>
      <c r="L169" s="192"/>
    </row>
    <row r="170" spans="1:12" s="192" customFormat="1" ht="63" x14ac:dyDescent="0.25">
      <c r="A170" s="400" t="s">
        <v>1564</v>
      </c>
      <c r="B170" s="391">
        <v>902</v>
      </c>
      <c r="C170" s="8" t="s">
        <v>118</v>
      </c>
      <c r="D170" s="8" t="s">
        <v>140</v>
      </c>
      <c r="E170" s="187" t="s">
        <v>817</v>
      </c>
      <c r="F170" s="8"/>
      <c r="G170" s="393">
        <f>G172</f>
        <v>13.159999999999997</v>
      </c>
      <c r="H170" s="393">
        <f t="shared" ref="H170" si="85">H172</f>
        <v>13.16</v>
      </c>
      <c r="I170" s="393">
        <f t="shared" si="69"/>
        <v>100.00000000000003</v>
      </c>
      <c r="J170" s="413"/>
      <c r="K170" s="401"/>
    </row>
    <row r="171" spans="1:12" s="192" customFormat="1" ht="31.5" x14ac:dyDescent="0.25">
      <c r="A171" s="58" t="s">
        <v>855</v>
      </c>
      <c r="B171" s="391">
        <v>902</v>
      </c>
      <c r="C171" s="8" t="s">
        <v>118</v>
      </c>
      <c r="D171" s="8" t="s">
        <v>140</v>
      </c>
      <c r="E171" s="187" t="s">
        <v>863</v>
      </c>
      <c r="F171" s="8"/>
      <c r="G171" s="393">
        <f>G172</f>
        <v>13.159999999999997</v>
      </c>
      <c r="H171" s="393">
        <f t="shared" ref="H171:H173" si="86">H172</f>
        <v>13.16</v>
      </c>
      <c r="I171" s="393">
        <f t="shared" si="69"/>
        <v>100.00000000000003</v>
      </c>
      <c r="J171" s="413"/>
      <c r="K171" s="401"/>
    </row>
    <row r="172" spans="1:12" s="192" customFormat="1" ht="15.75" x14ac:dyDescent="0.25">
      <c r="A172" s="45" t="s">
        <v>821</v>
      </c>
      <c r="B172" s="390">
        <v>902</v>
      </c>
      <c r="C172" s="9" t="s">
        <v>118</v>
      </c>
      <c r="D172" s="9" t="s">
        <v>140</v>
      </c>
      <c r="E172" s="5" t="s">
        <v>856</v>
      </c>
      <c r="F172" s="9"/>
      <c r="G172" s="397">
        <f>G173</f>
        <v>13.159999999999997</v>
      </c>
      <c r="H172" s="397">
        <f t="shared" si="86"/>
        <v>13.16</v>
      </c>
      <c r="I172" s="397">
        <f t="shared" si="69"/>
        <v>100.00000000000003</v>
      </c>
      <c r="J172" s="413"/>
      <c r="K172" s="401"/>
    </row>
    <row r="173" spans="1:12" s="192" customFormat="1" ht="31.5" x14ac:dyDescent="0.25">
      <c r="A173" s="396" t="s">
        <v>131</v>
      </c>
      <c r="B173" s="390">
        <v>902</v>
      </c>
      <c r="C173" s="9" t="s">
        <v>118</v>
      </c>
      <c r="D173" s="9" t="s">
        <v>140</v>
      </c>
      <c r="E173" s="5" t="s">
        <v>856</v>
      </c>
      <c r="F173" s="9" t="s">
        <v>132</v>
      </c>
      <c r="G173" s="397">
        <f>G174</f>
        <v>13.159999999999997</v>
      </c>
      <c r="H173" s="397">
        <f t="shared" si="86"/>
        <v>13.16</v>
      </c>
      <c r="I173" s="397">
        <f t="shared" si="69"/>
        <v>100.00000000000003</v>
      </c>
      <c r="J173" s="413"/>
      <c r="K173" s="401"/>
    </row>
    <row r="174" spans="1:12" s="192" customFormat="1" ht="31.5" x14ac:dyDescent="0.25">
      <c r="A174" s="396" t="s">
        <v>133</v>
      </c>
      <c r="B174" s="390">
        <v>902</v>
      </c>
      <c r="C174" s="9" t="s">
        <v>118</v>
      </c>
      <c r="D174" s="9" t="s">
        <v>140</v>
      </c>
      <c r="E174" s="5" t="s">
        <v>856</v>
      </c>
      <c r="F174" s="9" t="s">
        <v>134</v>
      </c>
      <c r="G174" s="397">
        <f>70+17.1-31-42.94</f>
        <v>13.159999999999997</v>
      </c>
      <c r="H174" s="397">
        <v>13.16</v>
      </c>
      <c r="I174" s="397">
        <f t="shared" si="69"/>
        <v>100.00000000000003</v>
      </c>
      <c r="J174" s="413"/>
      <c r="K174" s="401"/>
    </row>
    <row r="175" spans="1:12" ht="15.75" hidden="1" customHeight="1" x14ac:dyDescent="0.25">
      <c r="A175" s="394" t="s">
        <v>212</v>
      </c>
      <c r="B175" s="391">
        <v>902</v>
      </c>
      <c r="C175" s="395" t="s">
        <v>213</v>
      </c>
      <c r="D175" s="395"/>
      <c r="E175" s="395"/>
      <c r="F175" s="395"/>
      <c r="G175" s="393">
        <f t="shared" ref="G175:H180" si="87">G176</f>
        <v>0</v>
      </c>
      <c r="H175" s="393">
        <f t="shared" si="87"/>
        <v>0</v>
      </c>
      <c r="I175" s="397" t="e">
        <f t="shared" si="69"/>
        <v>#DIV/0!</v>
      </c>
      <c r="J175" s="413"/>
      <c r="K175" s="401"/>
      <c r="L175" s="192"/>
    </row>
    <row r="176" spans="1:12" ht="20.25" hidden="1" customHeight="1" x14ac:dyDescent="0.25">
      <c r="A176" s="394" t="s">
        <v>218</v>
      </c>
      <c r="B176" s="391">
        <v>902</v>
      </c>
      <c r="C176" s="395" t="s">
        <v>213</v>
      </c>
      <c r="D176" s="395" t="s">
        <v>219</v>
      </c>
      <c r="E176" s="395"/>
      <c r="F176" s="395"/>
      <c r="G176" s="393">
        <f t="shared" si="87"/>
        <v>0</v>
      </c>
      <c r="H176" s="393">
        <f t="shared" si="87"/>
        <v>0</v>
      </c>
      <c r="I176" s="397" t="e">
        <f t="shared" si="69"/>
        <v>#DIV/0!</v>
      </c>
      <c r="J176" s="413"/>
      <c r="K176" s="401"/>
      <c r="L176" s="192"/>
    </row>
    <row r="177" spans="1:12" ht="15.75" hidden="1" customHeight="1" x14ac:dyDescent="0.25">
      <c r="A177" s="394" t="s">
        <v>141</v>
      </c>
      <c r="B177" s="391">
        <v>902</v>
      </c>
      <c r="C177" s="395" t="s">
        <v>213</v>
      </c>
      <c r="D177" s="395" t="s">
        <v>219</v>
      </c>
      <c r="E177" s="395" t="s">
        <v>865</v>
      </c>
      <c r="F177" s="395"/>
      <c r="G177" s="393">
        <f t="shared" si="87"/>
        <v>0</v>
      </c>
      <c r="H177" s="393">
        <f t="shared" si="87"/>
        <v>0</v>
      </c>
      <c r="I177" s="397" t="e">
        <f t="shared" si="69"/>
        <v>#DIV/0!</v>
      </c>
      <c r="J177" s="413"/>
      <c r="K177" s="401"/>
      <c r="L177" s="192"/>
    </row>
    <row r="178" spans="1:12" ht="33.75" hidden="1" customHeight="1" x14ac:dyDescent="0.25">
      <c r="A178" s="394" t="s">
        <v>869</v>
      </c>
      <c r="B178" s="391">
        <v>902</v>
      </c>
      <c r="C178" s="395" t="s">
        <v>213</v>
      </c>
      <c r="D178" s="395" t="s">
        <v>219</v>
      </c>
      <c r="E178" s="395" t="s">
        <v>864</v>
      </c>
      <c r="F178" s="395"/>
      <c r="G178" s="393">
        <f t="shared" si="87"/>
        <v>0</v>
      </c>
      <c r="H178" s="393">
        <f t="shared" si="87"/>
        <v>0</v>
      </c>
      <c r="I178" s="397" t="e">
        <f t="shared" si="69"/>
        <v>#DIV/0!</v>
      </c>
      <c r="J178" s="413"/>
      <c r="K178" s="401"/>
      <c r="L178" s="192"/>
    </row>
    <row r="179" spans="1:12" ht="15.75" hidden="1" customHeight="1" x14ac:dyDescent="0.25">
      <c r="A179" s="396" t="s">
        <v>220</v>
      </c>
      <c r="B179" s="390">
        <v>902</v>
      </c>
      <c r="C179" s="392" t="s">
        <v>213</v>
      </c>
      <c r="D179" s="392" t="s">
        <v>219</v>
      </c>
      <c r="E179" s="392" t="s">
        <v>870</v>
      </c>
      <c r="F179" s="392"/>
      <c r="G179" s="397">
        <f t="shared" si="87"/>
        <v>0</v>
      </c>
      <c r="H179" s="397">
        <f t="shared" si="87"/>
        <v>0</v>
      </c>
      <c r="I179" s="397" t="e">
        <f t="shared" si="69"/>
        <v>#DIV/0!</v>
      </c>
      <c r="J179" s="413"/>
      <c r="K179" s="401"/>
      <c r="L179" s="192"/>
    </row>
    <row r="180" spans="1:12" ht="33.75" hidden="1" customHeight="1" x14ac:dyDescent="0.25">
      <c r="A180" s="396" t="s">
        <v>198</v>
      </c>
      <c r="B180" s="390">
        <v>902</v>
      </c>
      <c r="C180" s="392" t="s">
        <v>213</v>
      </c>
      <c r="D180" s="392" t="s">
        <v>219</v>
      </c>
      <c r="E180" s="392" t="s">
        <v>870</v>
      </c>
      <c r="F180" s="392" t="s">
        <v>132</v>
      </c>
      <c r="G180" s="397">
        <f t="shared" si="87"/>
        <v>0</v>
      </c>
      <c r="H180" s="397">
        <f t="shared" si="87"/>
        <v>0</v>
      </c>
      <c r="I180" s="397" t="e">
        <f t="shared" si="69"/>
        <v>#DIV/0!</v>
      </c>
      <c r="J180" s="413"/>
      <c r="K180" s="401"/>
      <c r="L180" s="192"/>
    </row>
    <row r="181" spans="1:12" ht="40.700000000000003" hidden="1" customHeight="1" x14ac:dyDescent="0.25">
      <c r="A181" s="396" t="s">
        <v>133</v>
      </c>
      <c r="B181" s="390">
        <v>902</v>
      </c>
      <c r="C181" s="392" t="s">
        <v>213</v>
      </c>
      <c r="D181" s="392" t="s">
        <v>219</v>
      </c>
      <c r="E181" s="392" t="s">
        <v>870</v>
      </c>
      <c r="F181" s="392" t="s">
        <v>134</v>
      </c>
      <c r="G181" s="27">
        <v>0</v>
      </c>
      <c r="H181" s="27">
        <v>0</v>
      </c>
      <c r="I181" s="397" t="e">
        <f t="shared" si="69"/>
        <v>#DIV/0!</v>
      </c>
      <c r="J181" s="413"/>
      <c r="K181" s="401"/>
      <c r="L181" s="192"/>
    </row>
    <row r="182" spans="1:12" ht="31.5" x14ac:dyDescent="0.25">
      <c r="A182" s="394" t="s">
        <v>222</v>
      </c>
      <c r="B182" s="391">
        <v>902</v>
      </c>
      <c r="C182" s="395" t="s">
        <v>215</v>
      </c>
      <c r="D182" s="395"/>
      <c r="E182" s="395"/>
      <c r="F182" s="395"/>
      <c r="G182" s="393">
        <f>G183</f>
        <v>7435.9079100000008</v>
      </c>
      <c r="H182" s="393">
        <f t="shared" ref="H182" si="88">H183</f>
        <v>7330.0119999999997</v>
      </c>
      <c r="I182" s="393">
        <f t="shared" si="69"/>
        <v>98.575884595644467</v>
      </c>
      <c r="J182" s="413"/>
      <c r="K182" s="401"/>
      <c r="L182" s="192"/>
    </row>
    <row r="183" spans="1:12" ht="47.25" customHeight="1" x14ac:dyDescent="0.25">
      <c r="A183" s="394" t="s">
        <v>1344</v>
      </c>
      <c r="B183" s="391">
        <v>902</v>
      </c>
      <c r="C183" s="395" t="s">
        <v>215</v>
      </c>
      <c r="D183" s="395" t="s">
        <v>244</v>
      </c>
      <c r="E183" s="392"/>
      <c r="F183" s="392"/>
      <c r="G183" s="393">
        <f>G184+G204</f>
        <v>7435.9079100000008</v>
      </c>
      <c r="H183" s="393">
        <f t="shared" ref="H183" si="89">H184+H204</f>
        <v>7330.0119999999997</v>
      </c>
      <c r="I183" s="393">
        <f t="shared" si="69"/>
        <v>98.575884595644467</v>
      </c>
      <c r="J183" s="413"/>
      <c r="K183" s="401"/>
      <c r="L183" s="192"/>
    </row>
    <row r="184" spans="1:12" ht="15.75" x14ac:dyDescent="0.25">
      <c r="A184" s="394" t="s">
        <v>141</v>
      </c>
      <c r="B184" s="391">
        <v>902</v>
      </c>
      <c r="C184" s="395" t="s">
        <v>215</v>
      </c>
      <c r="D184" s="395" t="s">
        <v>244</v>
      </c>
      <c r="E184" s="395" t="s">
        <v>865</v>
      </c>
      <c r="F184" s="395"/>
      <c r="G184" s="393">
        <f>G185+G192</f>
        <v>6835.9079100000008</v>
      </c>
      <c r="H184" s="393">
        <f t="shared" ref="H184" si="90">H185+H192</f>
        <v>6823.6970000000001</v>
      </c>
      <c r="I184" s="393">
        <f t="shared" si="69"/>
        <v>99.82137105764491</v>
      </c>
      <c r="J184" s="413"/>
      <c r="K184" s="401"/>
      <c r="L184" s="192"/>
    </row>
    <row r="185" spans="1:12" s="192" customFormat="1" ht="31.5" x14ac:dyDescent="0.25">
      <c r="A185" s="394" t="s">
        <v>869</v>
      </c>
      <c r="B185" s="391">
        <v>902</v>
      </c>
      <c r="C185" s="395" t="s">
        <v>215</v>
      </c>
      <c r="D185" s="395" t="s">
        <v>244</v>
      </c>
      <c r="E185" s="395" t="s">
        <v>864</v>
      </c>
      <c r="F185" s="395"/>
      <c r="G185" s="393">
        <f>G186+G189</f>
        <v>326.56081</v>
      </c>
      <c r="H185" s="393">
        <f t="shared" ref="H185" si="91">H186+H189</f>
        <v>314.61799999999999</v>
      </c>
      <c r="I185" s="393">
        <f t="shared" si="69"/>
        <v>96.342852652772379</v>
      </c>
      <c r="J185" s="413"/>
      <c r="K185" s="401"/>
    </row>
    <row r="186" spans="1:12" s="192" customFormat="1" ht="31.5" x14ac:dyDescent="0.25">
      <c r="A186" s="396" t="s">
        <v>224</v>
      </c>
      <c r="B186" s="390">
        <v>902</v>
      </c>
      <c r="C186" s="392" t="s">
        <v>215</v>
      </c>
      <c r="D186" s="392" t="s">
        <v>244</v>
      </c>
      <c r="E186" s="392" t="s">
        <v>874</v>
      </c>
      <c r="F186" s="392"/>
      <c r="G186" s="397">
        <f>G187</f>
        <v>279</v>
      </c>
      <c r="H186" s="397">
        <f t="shared" ref="H186:H187" si="92">H187</f>
        <v>267.05799999999999</v>
      </c>
      <c r="I186" s="397">
        <f t="shared" si="69"/>
        <v>95.719713261648735</v>
      </c>
      <c r="J186" s="413"/>
      <c r="K186" s="401"/>
    </row>
    <row r="187" spans="1:12" s="192" customFormat="1" ht="31.5" x14ac:dyDescent="0.25">
      <c r="A187" s="396" t="s">
        <v>198</v>
      </c>
      <c r="B187" s="390">
        <v>902</v>
      </c>
      <c r="C187" s="392" t="s">
        <v>215</v>
      </c>
      <c r="D187" s="392" t="s">
        <v>244</v>
      </c>
      <c r="E187" s="392" t="s">
        <v>874</v>
      </c>
      <c r="F187" s="392" t="s">
        <v>132</v>
      </c>
      <c r="G187" s="397">
        <f>G188</f>
        <v>279</v>
      </c>
      <c r="H187" s="397">
        <f t="shared" si="92"/>
        <v>267.05799999999999</v>
      </c>
      <c r="I187" s="397">
        <f t="shared" si="69"/>
        <v>95.719713261648735</v>
      </c>
      <c r="J187" s="413"/>
      <c r="K187" s="401"/>
    </row>
    <row r="188" spans="1:12" s="192" customFormat="1" ht="31.5" x14ac:dyDescent="0.25">
      <c r="A188" s="396" t="s">
        <v>133</v>
      </c>
      <c r="B188" s="390">
        <v>902</v>
      </c>
      <c r="C188" s="392" t="s">
        <v>215</v>
      </c>
      <c r="D188" s="392" t="s">
        <v>244</v>
      </c>
      <c r="E188" s="392" t="s">
        <v>874</v>
      </c>
      <c r="F188" s="392" t="s">
        <v>134</v>
      </c>
      <c r="G188" s="452">
        <f>1785-521-1064+79</f>
        <v>279</v>
      </c>
      <c r="H188" s="452">
        <v>267.05799999999999</v>
      </c>
      <c r="I188" s="397">
        <f t="shared" si="69"/>
        <v>95.719713261648735</v>
      </c>
      <c r="J188" s="413"/>
      <c r="K188" s="401"/>
    </row>
    <row r="189" spans="1:12" s="192" customFormat="1" ht="15.75" x14ac:dyDescent="0.25">
      <c r="A189" s="396" t="s">
        <v>230</v>
      </c>
      <c r="B189" s="390">
        <v>902</v>
      </c>
      <c r="C189" s="392" t="s">
        <v>215</v>
      </c>
      <c r="D189" s="392" t="s">
        <v>244</v>
      </c>
      <c r="E189" s="392" t="s">
        <v>875</v>
      </c>
      <c r="F189" s="392"/>
      <c r="G189" s="27">
        <f>G190</f>
        <v>47.560810000000004</v>
      </c>
      <c r="H189" s="27">
        <f t="shared" ref="H189:H190" si="93">H190</f>
        <v>47.56</v>
      </c>
      <c r="I189" s="397">
        <f t="shared" si="69"/>
        <v>99.998296917146703</v>
      </c>
      <c r="J189" s="413"/>
      <c r="K189" s="401"/>
    </row>
    <row r="190" spans="1:12" s="192" customFormat="1" ht="31.5" x14ac:dyDescent="0.25">
      <c r="A190" s="396" t="s">
        <v>198</v>
      </c>
      <c r="B190" s="390">
        <v>902</v>
      </c>
      <c r="C190" s="392" t="s">
        <v>215</v>
      </c>
      <c r="D190" s="392" t="s">
        <v>244</v>
      </c>
      <c r="E190" s="392" t="s">
        <v>875</v>
      </c>
      <c r="F190" s="392" t="s">
        <v>132</v>
      </c>
      <c r="G190" s="27">
        <f>G191</f>
        <v>47.560810000000004</v>
      </c>
      <c r="H190" s="27">
        <f t="shared" si="93"/>
        <v>47.56</v>
      </c>
      <c r="I190" s="397">
        <f t="shared" si="69"/>
        <v>99.998296917146703</v>
      </c>
      <c r="J190" s="413"/>
      <c r="K190" s="401"/>
    </row>
    <row r="191" spans="1:12" s="192" customFormat="1" ht="31.5" x14ac:dyDescent="0.25">
      <c r="A191" s="396" t="s">
        <v>133</v>
      </c>
      <c r="B191" s="390">
        <v>902</v>
      </c>
      <c r="C191" s="392" t="s">
        <v>215</v>
      </c>
      <c r="D191" s="392" t="s">
        <v>244</v>
      </c>
      <c r="E191" s="392" t="s">
        <v>875</v>
      </c>
      <c r="F191" s="392" t="s">
        <v>134</v>
      </c>
      <c r="G191" s="27">
        <f>99+98+0.85-150.28919</f>
        <v>47.560810000000004</v>
      </c>
      <c r="H191" s="27">
        <v>47.56</v>
      </c>
      <c r="I191" s="397">
        <f t="shared" si="69"/>
        <v>99.998296917146703</v>
      </c>
      <c r="J191" s="413"/>
      <c r="K191" s="401"/>
    </row>
    <row r="192" spans="1:12" s="192" customFormat="1" ht="34.5" customHeight="1" x14ac:dyDescent="0.25">
      <c r="A192" s="394" t="s">
        <v>922</v>
      </c>
      <c r="B192" s="391">
        <v>902</v>
      </c>
      <c r="C192" s="395" t="s">
        <v>215</v>
      </c>
      <c r="D192" s="395" t="s">
        <v>244</v>
      </c>
      <c r="E192" s="395" t="s">
        <v>871</v>
      </c>
      <c r="F192" s="395"/>
      <c r="G192" s="393">
        <f>G193+G198+G201</f>
        <v>6509.3471000000009</v>
      </c>
      <c r="H192" s="393">
        <f t="shared" ref="H192" si="94">H193+H198+H201</f>
        <v>6509.0789999999997</v>
      </c>
      <c r="I192" s="393">
        <f t="shared" si="69"/>
        <v>99.995881307358744</v>
      </c>
      <c r="J192" s="413"/>
      <c r="K192" s="401"/>
    </row>
    <row r="193" spans="1:11" s="192" customFormat="1" ht="31.5" x14ac:dyDescent="0.25">
      <c r="A193" s="396" t="s">
        <v>926</v>
      </c>
      <c r="B193" s="390">
        <v>902</v>
      </c>
      <c r="C193" s="392" t="s">
        <v>215</v>
      </c>
      <c r="D193" s="392" t="s">
        <v>244</v>
      </c>
      <c r="E193" s="392" t="s">
        <v>872</v>
      </c>
      <c r="F193" s="392"/>
      <c r="G193" s="397">
        <f>G194+G196</f>
        <v>6041.9500000000007</v>
      </c>
      <c r="H193" s="397">
        <f t="shared" ref="H193" si="95">H194+H196</f>
        <v>6041.683</v>
      </c>
      <c r="I193" s="397">
        <f t="shared" si="69"/>
        <v>99.995580896895859</v>
      </c>
      <c r="J193" s="413"/>
      <c r="K193" s="401"/>
    </row>
    <row r="194" spans="1:11" s="192" customFormat="1" ht="63" x14ac:dyDescent="0.25">
      <c r="A194" s="396" t="s">
        <v>127</v>
      </c>
      <c r="B194" s="390">
        <v>902</v>
      </c>
      <c r="C194" s="392" t="s">
        <v>215</v>
      </c>
      <c r="D194" s="392" t="s">
        <v>244</v>
      </c>
      <c r="E194" s="392" t="s">
        <v>872</v>
      </c>
      <c r="F194" s="392" t="s">
        <v>128</v>
      </c>
      <c r="G194" s="397">
        <f>G195</f>
        <v>5857.2000000000007</v>
      </c>
      <c r="H194" s="397">
        <f t="shared" ref="H194" si="96">H195</f>
        <v>5856.9369999999999</v>
      </c>
      <c r="I194" s="397">
        <f t="shared" si="69"/>
        <v>99.995509799904383</v>
      </c>
      <c r="J194" s="413"/>
      <c r="K194" s="401"/>
    </row>
    <row r="195" spans="1:11" s="192" customFormat="1" ht="15.75" x14ac:dyDescent="0.25">
      <c r="A195" s="396" t="s">
        <v>208</v>
      </c>
      <c r="B195" s="390">
        <v>902</v>
      </c>
      <c r="C195" s="392" t="s">
        <v>215</v>
      </c>
      <c r="D195" s="392" t="s">
        <v>244</v>
      </c>
      <c r="E195" s="392" t="s">
        <v>872</v>
      </c>
      <c r="F195" s="392" t="s">
        <v>209</v>
      </c>
      <c r="G195" s="27">
        <f>5693.1-10.9+175</f>
        <v>5857.2000000000007</v>
      </c>
      <c r="H195" s="27">
        <v>5856.9369999999999</v>
      </c>
      <c r="I195" s="397">
        <f t="shared" si="69"/>
        <v>99.995509799904383</v>
      </c>
      <c r="J195" s="413"/>
      <c r="K195" s="401"/>
    </row>
    <row r="196" spans="1:11" s="192" customFormat="1" ht="31.5" x14ac:dyDescent="0.25">
      <c r="A196" s="396" t="s">
        <v>198</v>
      </c>
      <c r="B196" s="390">
        <v>902</v>
      </c>
      <c r="C196" s="392" t="s">
        <v>215</v>
      </c>
      <c r="D196" s="392" t="s">
        <v>244</v>
      </c>
      <c r="E196" s="392" t="s">
        <v>872</v>
      </c>
      <c r="F196" s="392" t="s">
        <v>132</v>
      </c>
      <c r="G196" s="397">
        <f>G197</f>
        <v>184.75</v>
      </c>
      <c r="H196" s="397">
        <f t="shared" ref="H196" si="97">H197</f>
        <v>184.74600000000001</v>
      </c>
      <c r="I196" s="397">
        <f t="shared" si="69"/>
        <v>99.997834912043302</v>
      </c>
      <c r="J196" s="413"/>
      <c r="K196" s="401"/>
    </row>
    <row r="197" spans="1:11" s="192" customFormat="1" ht="31.5" x14ac:dyDescent="0.25">
      <c r="A197" s="396" t="s">
        <v>133</v>
      </c>
      <c r="B197" s="390">
        <v>902</v>
      </c>
      <c r="C197" s="392" t="s">
        <v>215</v>
      </c>
      <c r="D197" s="392" t="s">
        <v>244</v>
      </c>
      <c r="E197" s="392" t="s">
        <v>872</v>
      </c>
      <c r="F197" s="392" t="s">
        <v>134</v>
      </c>
      <c r="G197" s="27">
        <f>163+19+2.75</f>
        <v>184.75</v>
      </c>
      <c r="H197" s="27">
        <v>184.74600000000001</v>
      </c>
      <c r="I197" s="397">
        <f t="shared" si="69"/>
        <v>99.997834912043302</v>
      </c>
      <c r="J197" s="413"/>
      <c r="K197" s="401"/>
    </row>
    <row r="198" spans="1:11" s="192" customFormat="1" ht="31.5" x14ac:dyDescent="0.25">
      <c r="A198" s="396" t="s">
        <v>838</v>
      </c>
      <c r="B198" s="390">
        <v>902</v>
      </c>
      <c r="C198" s="392" t="s">
        <v>215</v>
      </c>
      <c r="D198" s="392" t="s">
        <v>244</v>
      </c>
      <c r="E198" s="392" t="s">
        <v>873</v>
      </c>
      <c r="F198" s="392"/>
      <c r="G198" s="397">
        <f>G199</f>
        <v>346</v>
      </c>
      <c r="H198" s="397">
        <f t="shared" ref="H198:H199" si="98">H199</f>
        <v>345.99900000000002</v>
      </c>
      <c r="I198" s="397">
        <f t="shared" si="69"/>
        <v>99.999710982658968</v>
      </c>
      <c r="J198" s="413"/>
      <c r="K198" s="401"/>
    </row>
    <row r="199" spans="1:11" s="192" customFormat="1" ht="63" x14ac:dyDescent="0.25">
      <c r="A199" s="396" t="s">
        <v>127</v>
      </c>
      <c r="B199" s="390">
        <v>902</v>
      </c>
      <c r="C199" s="392" t="s">
        <v>215</v>
      </c>
      <c r="D199" s="392" t="s">
        <v>244</v>
      </c>
      <c r="E199" s="392" t="s">
        <v>873</v>
      </c>
      <c r="F199" s="392" t="s">
        <v>128</v>
      </c>
      <c r="G199" s="397">
        <f>G200</f>
        <v>346</v>
      </c>
      <c r="H199" s="397">
        <f t="shared" si="98"/>
        <v>345.99900000000002</v>
      </c>
      <c r="I199" s="397">
        <f t="shared" si="69"/>
        <v>99.999710982658968</v>
      </c>
      <c r="J199" s="413"/>
      <c r="K199" s="401"/>
    </row>
    <row r="200" spans="1:11" s="192" customFormat="1" ht="15.75" x14ac:dyDescent="0.25">
      <c r="A200" s="396" t="s">
        <v>208</v>
      </c>
      <c r="B200" s="390">
        <v>902</v>
      </c>
      <c r="C200" s="392" t="s">
        <v>215</v>
      </c>
      <c r="D200" s="392" t="s">
        <v>244</v>
      </c>
      <c r="E200" s="392" t="s">
        <v>873</v>
      </c>
      <c r="F200" s="392" t="s">
        <v>209</v>
      </c>
      <c r="G200" s="397">
        <f>252+40+18.025+35.975</f>
        <v>346</v>
      </c>
      <c r="H200" s="397">
        <v>345.99900000000002</v>
      </c>
      <c r="I200" s="397">
        <f t="shared" si="69"/>
        <v>99.999710982658968</v>
      </c>
      <c r="J200" s="413"/>
      <c r="K200" s="401"/>
    </row>
    <row r="201" spans="1:11" s="192" customFormat="1" ht="31.5" x14ac:dyDescent="0.25">
      <c r="A201" s="396" t="s">
        <v>1677</v>
      </c>
      <c r="B201" s="390">
        <v>902</v>
      </c>
      <c r="C201" s="392" t="s">
        <v>215</v>
      </c>
      <c r="D201" s="392" t="s">
        <v>244</v>
      </c>
      <c r="E201" s="392" t="s">
        <v>1680</v>
      </c>
      <c r="F201" s="392"/>
      <c r="G201" s="397">
        <f>G202</f>
        <v>121.39709999999999</v>
      </c>
      <c r="H201" s="397">
        <f t="shared" ref="H201:H202" si="99">H202</f>
        <v>121.39700000000001</v>
      </c>
      <c r="I201" s="397">
        <f t="shared" si="69"/>
        <v>99.999917625709358</v>
      </c>
      <c r="J201" s="413"/>
      <c r="K201" s="401"/>
    </row>
    <row r="202" spans="1:11" s="192" customFormat="1" ht="63" x14ac:dyDescent="0.25">
      <c r="A202" s="396" t="s">
        <v>127</v>
      </c>
      <c r="B202" s="390">
        <v>902</v>
      </c>
      <c r="C202" s="392" t="s">
        <v>215</v>
      </c>
      <c r="D202" s="392" t="s">
        <v>244</v>
      </c>
      <c r="E202" s="392" t="s">
        <v>1680</v>
      </c>
      <c r="F202" s="392" t="s">
        <v>128</v>
      </c>
      <c r="G202" s="397">
        <f>G203</f>
        <v>121.39709999999999</v>
      </c>
      <c r="H202" s="397">
        <f t="shared" si="99"/>
        <v>121.39700000000001</v>
      </c>
      <c r="I202" s="397">
        <f t="shared" ref="I202:I265" si="100">H202/G202*100</f>
        <v>99.999917625709358</v>
      </c>
      <c r="J202" s="413"/>
      <c r="K202" s="401"/>
    </row>
    <row r="203" spans="1:11" s="192" customFormat="1" ht="15.75" x14ac:dyDescent="0.25">
      <c r="A203" s="396" t="s">
        <v>208</v>
      </c>
      <c r="B203" s="390">
        <v>902</v>
      </c>
      <c r="C203" s="392" t="s">
        <v>215</v>
      </c>
      <c r="D203" s="392" t="s">
        <v>244</v>
      </c>
      <c r="E203" s="392" t="s">
        <v>1680</v>
      </c>
      <c r="F203" s="392" t="s">
        <v>209</v>
      </c>
      <c r="G203" s="397">
        <v>121.39709999999999</v>
      </c>
      <c r="H203" s="397">
        <v>121.39700000000001</v>
      </c>
      <c r="I203" s="397">
        <f t="shared" si="100"/>
        <v>99.999917625709358</v>
      </c>
      <c r="J203" s="413"/>
      <c r="K203" s="401"/>
    </row>
    <row r="204" spans="1:11" s="192" customFormat="1" ht="47.25" x14ac:dyDescent="0.25">
      <c r="A204" s="400" t="s">
        <v>1340</v>
      </c>
      <c r="B204" s="391">
        <v>902</v>
      </c>
      <c r="C204" s="395" t="s">
        <v>215</v>
      </c>
      <c r="D204" s="395" t="s">
        <v>244</v>
      </c>
      <c r="E204" s="395" t="s">
        <v>705</v>
      </c>
      <c r="F204" s="392"/>
      <c r="G204" s="393">
        <f>G205</f>
        <v>600</v>
      </c>
      <c r="H204" s="393">
        <f t="shared" ref="H204" si="101">H205</f>
        <v>506.315</v>
      </c>
      <c r="I204" s="393">
        <f t="shared" si="100"/>
        <v>84.385833333333338</v>
      </c>
      <c r="J204" s="413"/>
      <c r="K204" s="401"/>
    </row>
    <row r="205" spans="1:11" s="192" customFormat="1" ht="31.5" x14ac:dyDescent="0.25">
      <c r="A205" s="402" t="s">
        <v>1551</v>
      </c>
      <c r="B205" s="391">
        <v>902</v>
      </c>
      <c r="C205" s="395" t="s">
        <v>215</v>
      </c>
      <c r="D205" s="395" t="s">
        <v>244</v>
      </c>
      <c r="E205" s="395" t="s">
        <v>1552</v>
      </c>
      <c r="F205" s="403"/>
      <c r="G205" s="393">
        <f>G206+G209</f>
        <v>600</v>
      </c>
      <c r="H205" s="393">
        <f t="shared" ref="H205" si="102">H206+H209</f>
        <v>506.315</v>
      </c>
      <c r="I205" s="393">
        <f t="shared" si="100"/>
        <v>84.385833333333338</v>
      </c>
      <c r="J205" s="413"/>
      <c r="K205" s="401"/>
    </row>
    <row r="206" spans="1:11" s="192" customFormat="1" ht="15.75" hidden="1" x14ac:dyDescent="0.25">
      <c r="A206" s="396" t="s">
        <v>230</v>
      </c>
      <c r="B206" s="390">
        <v>902</v>
      </c>
      <c r="C206" s="392" t="s">
        <v>215</v>
      </c>
      <c r="D206" s="392" t="s">
        <v>244</v>
      </c>
      <c r="E206" s="392" t="s">
        <v>1553</v>
      </c>
      <c r="F206" s="398"/>
      <c r="G206" s="397">
        <f>G207</f>
        <v>0</v>
      </c>
      <c r="H206" s="397">
        <f t="shared" ref="H206:H207" si="103">H207</f>
        <v>0</v>
      </c>
      <c r="I206" s="397" t="e">
        <f t="shared" si="100"/>
        <v>#DIV/0!</v>
      </c>
      <c r="J206" s="413"/>
      <c r="K206" s="401"/>
    </row>
    <row r="207" spans="1:11" s="192" customFormat="1" ht="31.5" hidden="1" x14ac:dyDescent="0.25">
      <c r="A207" s="396" t="s">
        <v>131</v>
      </c>
      <c r="B207" s="390">
        <v>902</v>
      </c>
      <c r="C207" s="392" t="s">
        <v>215</v>
      </c>
      <c r="D207" s="392" t="s">
        <v>244</v>
      </c>
      <c r="E207" s="392" t="s">
        <v>1553</v>
      </c>
      <c r="F207" s="398" t="s">
        <v>132</v>
      </c>
      <c r="G207" s="397">
        <f>G208</f>
        <v>0</v>
      </c>
      <c r="H207" s="397">
        <f t="shared" si="103"/>
        <v>0</v>
      </c>
      <c r="I207" s="397" t="e">
        <f t="shared" si="100"/>
        <v>#DIV/0!</v>
      </c>
      <c r="J207" s="413"/>
      <c r="K207" s="401"/>
    </row>
    <row r="208" spans="1:11" s="192" customFormat="1" ht="31.5" hidden="1" x14ac:dyDescent="0.25">
      <c r="A208" s="396" t="s">
        <v>133</v>
      </c>
      <c r="B208" s="390">
        <v>902</v>
      </c>
      <c r="C208" s="392" t="s">
        <v>215</v>
      </c>
      <c r="D208" s="392" t="s">
        <v>244</v>
      </c>
      <c r="E208" s="392" t="s">
        <v>1553</v>
      </c>
      <c r="F208" s="398" t="s">
        <v>134</v>
      </c>
      <c r="G208" s="397">
        <f>100-100</f>
        <v>0</v>
      </c>
      <c r="H208" s="397">
        <f t="shared" ref="H208" si="104">100-100</f>
        <v>0</v>
      </c>
      <c r="I208" s="397" t="e">
        <f t="shared" si="100"/>
        <v>#DIV/0!</v>
      </c>
      <c r="J208" s="413"/>
      <c r="K208" s="401"/>
    </row>
    <row r="209" spans="1:12" s="192" customFormat="1" ht="31.5" x14ac:dyDescent="0.25">
      <c r="A209" s="396" t="s">
        <v>1578</v>
      </c>
      <c r="B209" s="390">
        <v>902</v>
      </c>
      <c r="C209" s="392" t="s">
        <v>215</v>
      </c>
      <c r="D209" s="392" t="s">
        <v>244</v>
      </c>
      <c r="E209" s="392" t="s">
        <v>1579</v>
      </c>
      <c r="F209" s="398"/>
      <c r="G209" s="397">
        <f>G210+G212</f>
        <v>600</v>
      </c>
      <c r="H209" s="397">
        <f t="shared" ref="H209" si="105">H210+H212</f>
        <v>506.315</v>
      </c>
      <c r="I209" s="397">
        <f t="shared" si="100"/>
        <v>84.385833333333338</v>
      </c>
      <c r="J209" s="413"/>
      <c r="K209" s="401"/>
    </row>
    <row r="210" spans="1:12" s="192" customFormat="1" ht="31.5" hidden="1" x14ac:dyDescent="0.25">
      <c r="A210" s="396" t="s">
        <v>131</v>
      </c>
      <c r="B210" s="390">
        <v>902</v>
      </c>
      <c r="C210" s="392" t="s">
        <v>215</v>
      </c>
      <c r="D210" s="392" t="s">
        <v>244</v>
      </c>
      <c r="E210" s="392" t="s">
        <v>1579</v>
      </c>
      <c r="F210" s="398" t="s">
        <v>132</v>
      </c>
      <c r="G210" s="397">
        <f>G211</f>
        <v>0</v>
      </c>
      <c r="H210" s="397">
        <f t="shared" ref="H210" si="106">H211</f>
        <v>0</v>
      </c>
      <c r="I210" s="397" t="e">
        <f t="shared" si="100"/>
        <v>#DIV/0!</v>
      </c>
      <c r="J210" s="413"/>
      <c r="K210" s="401"/>
    </row>
    <row r="211" spans="1:12" s="192" customFormat="1" ht="31.5" hidden="1" x14ac:dyDescent="0.25">
      <c r="A211" s="396" t="s">
        <v>133</v>
      </c>
      <c r="B211" s="390">
        <v>902</v>
      </c>
      <c r="C211" s="392" t="s">
        <v>215</v>
      </c>
      <c r="D211" s="392" t="s">
        <v>244</v>
      </c>
      <c r="E211" s="392" t="s">
        <v>1579</v>
      </c>
      <c r="F211" s="398" t="s">
        <v>134</v>
      </c>
      <c r="G211" s="397">
        <f>448+100-548</f>
        <v>0</v>
      </c>
      <c r="H211" s="397">
        <f t="shared" ref="H211" si="107">448+100-548</f>
        <v>0</v>
      </c>
      <c r="I211" s="397" t="e">
        <f t="shared" si="100"/>
        <v>#DIV/0!</v>
      </c>
      <c r="J211" s="413"/>
      <c r="K211" s="401"/>
    </row>
    <row r="212" spans="1:12" s="192" customFormat="1" ht="15.75" x14ac:dyDescent="0.25">
      <c r="A212" s="396" t="s">
        <v>248</v>
      </c>
      <c r="B212" s="390">
        <v>902</v>
      </c>
      <c r="C212" s="392" t="s">
        <v>215</v>
      </c>
      <c r="D212" s="392" t="s">
        <v>244</v>
      </c>
      <c r="E212" s="392" t="s">
        <v>1579</v>
      </c>
      <c r="F212" s="398" t="s">
        <v>249</v>
      </c>
      <c r="G212" s="397">
        <f>G213</f>
        <v>600</v>
      </c>
      <c r="H212" s="397">
        <f t="shared" ref="H212" si="108">H213</f>
        <v>506.315</v>
      </c>
      <c r="I212" s="397">
        <f t="shared" si="100"/>
        <v>84.385833333333338</v>
      </c>
      <c r="J212" s="413"/>
      <c r="K212" s="401"/>
    </row>
    <row r="213" spans="1:12" s="192" customFormat="1" ht="30" customHeight="1" x14ac:dyDescent="0.25">
      <c r="A213" s="396" t="s">
        <v>250</v>
      </c>
      <c r="B213" s="390">
        <v>902</v>
      </c>
      <c r="C213" s="392" t="s">
        <v>215</v>
      </c>
      <c r="D213" s="392" t="s">
        <v>244</v>
      </c>
      <c r="E213" s="392" t="s">
        <v>1579</v>
      </c>
      <c r="F213" s="398" t="s">
        <v>251</v>
      </c>
      <c r="G213" s="397">
        <f>448+100+52</f>
        <v>600</v>
      </c>
      <c r="H213" s="397">
        <v>506.315</v>
      </c>
      <c r="I213" s="397">
        <f t="shared" si="100"/>
        <v>84.385833333333338</v>
      </c>
      <c r="J213" s="413"/>
      <c r="K213" s="401"/>
    </row>
    <row r="214" spans="1:12" ht="15.75" x14ac:dyDescent="0.25">
      <c r="A214" s="481" t="s">
        <v>232</v>
      </c>
      <c r="B214" s="482">
        <v>902</v>
      </c>
      <c r="C214" s="483" t="s">
        <v>150</v>
      </c>
      <c r="D214" s="483"/>
      <c r="E214" s="483"/>
      <c r="F214" s="479"/>
      <c r="G214" s="486">
        <f>G225+G215</f>
        <v>383.2</v>
      </c>
      <c r="H214" s="486">
        <f t="shared" ref="H214" si="109">H225+H215</f>
        <v>364.2</v>
      </c>
      <c r="I214" s="393">
        <f t="shared" si="100"/>
        <v>95.041753653444673</v>
      </c>
      <c r="J214" s="413"/>
      <c r="K214" s="401"/>
      <c r="L214" s="192"/>
    </row>
    <row r="215" spans="1:12" ht="15.75" x14ac:dyDescent="0.25">
      <c r="A215" s="394" t="s">
        <v>233</v>
      </c>
      <c r="B215" s="391">
        <v>902</v>
      </c>
      <c r="C215" s="395" t="s">
        <v>150</v>
      </c>
      <c r="D215" s="395" t="s">
        <v>234</v>
      </c>
      <c r="E215" s="395"/>
      <c r="F215" s="392"/>
      <c r="G215" s="393">
        <f>G216</f>
        <v>19</v>
      </c>
      <c r="H215" s="393">
        <f t="shared" ref="H215" si="110">H216</f>
        <v>0</v>
      </c>
      <c r="I215" s="393">
        <f t="shared" si="100"/>
        <v>0</v>
      </c>
      <c r="J215" s="413"/>
      <c r="K215" s="401"/>
      <c r="L215" s="192"/>
    </row>
    <row r="216" spans="1:12" ht="42.4" customHeight="1" x14ac:dyDescent="0.25">
      <c r="A216" s="34" t="s">
        <v>1343</v>
      </c>
      <c r="B216" s="391">
        <v>902</v>
      </c>
      <c r="C216" s="395" t="s">
        <v>150</v>
      </c>
      <c r="D216" s="395" t="s">
        <v>234</v>
      </c>
      <c r="E216" s="187" t="s">
        <v>182</v>
      </c>
      <c r="F216" s="403"/>
      <c r="G216" s="393">
        <f>G217+G221</f>
        <v>19</v>
      </c>
      <c r="H216" s="393">
        <f t="shared" ref="H216" si="111">H217+H221</f>
        <v>0</v>
      </c>
      <c r="I216" s="393">
        <f t="shared" si="100"/>
        <v>0</v>
      </c>
      <c r="J216" s="413"/>
      <c r="K216" s="401"/>
      <c r="L216" s="192"/>
    </row>
    <row r="217" spans="1:12" s="192" customFormat="1" ht="35.450000000000003" customHeight="1" x14ac:dyDescent="0.25">
      <c r="A217" s="34" t="s">
        <v>1005</v>
      </c>
      <c r="B217" s="391">
        <v>902</v>
      </c>
      <c r="C217" s="395" t="s">
        <v>150</v>
      </c>
      <c r="D217" s="395" t="s">
        <v>234</v>
      </c>
      <c r="E217" s="233" t="s">
        <v>876</v>
      </c>
      <c r="F217" s="403"/>
      <c r="G217" s="393">
        <f>G218</f>
        <v>19</v>
      </c>
      <c r="H217" s="393">
        <f t="shared" ref="H217:H219" si="112">H218</f>
        <v>0</v>
      </c>
      <c r="I217" s="393">
        <f t="shared" si="100"/>
        <v>0</v>
      </c>
      <c r="J217" s="413"/>
      <c r="K217" s="401"/>
    </row>
    <row r="218" spans="1:12" ht="31.5" x14ac:dyDescent="0.25">
      <c r="A218" s="396" t="s">
        <v>235</v>
      </c>
      <c r="B218" s="390">
        <v>902</v>
      </c>
      <c r="C218" s="392" t="s">
        <v>150</v>
      </c>
      <c r="D218" s="392" t="s">
        <v>234</v>
      </c>
      <c r="E218" s="392" t="s">
        <v>897</v>
      </c>
      <c r="F218" s="398"/>
      <c r="G218" s="397">
        <f>G219</f>
        <v>19</v>
      </c>
      <c r="H218" s="397">
        <f t="shared" si="112"/>
        <v>0</v>
      </c>
      <c r="I218" s="397">
        <f t="shared" si="100"/>
        <v>0</v>
      </c>
      <c r="J218" s="413"/>
      <c r="K218" s="401"/>
      <c r="L218" s="192"/>
    </row>
    <row r="219" spans="1:12" ht="15.75" x14ac:dyDescent="0.25">
      <c r="A219" s="29" t="s">
        <v>135</v>
      </c>
      <c r="B219" s="390">
        <v>902</v>
      </c>
      <c r="C219" s="392" t="s">
        <v>150</v>
      </c>
      <c r="D219" s="392" t="s">
        <v>234</v>
      </c>
      <c r="E219" s="392" t="s">
        <v>897</v>
      </c>
      <c r="F219" s="398" t="s">
        <v>145</v>
      </c>
      <c r="G219" s="397">
        <f>G220</f>
        <v>19</v>
      </c>
      <c r="H219" s="397">
        <f t="shared" si="112"/>
        <v>0</v>
      </c>
      <c r="I219" s="397">
        <f t="shared" si="100"/>
        <v>0</v>
      </c>
      <c r="J219" s="413"/>
      <c r="K219" s="401"/>
      <c r="L219" s="192"/>
    </row>
    <row r="220" spans="1:12" ht="47.25" x14ac:dyDescent="0.25">
      <c r="A220" s="29" t="s">
        <v>184</v>
      </c>
      <c r="B220" s="390">
        <v>902</v>
      </c>
      <c r="C220" s="392" t="s">
        <v>150</v>
      </c>
      <c r="D220" s="392" t="s">
        <v>234</v>
      </c>
      <c r="E220" s="392" t="s">
        <v>897</v>
      </c>
      <c r="F220" s="398" t="s">
        <v>160</v>
      </c>
      <c r="G220" s="397">
        <f>30-11+255-91.9-163.1</f>
        <v>19</v>
      </c>
      <c r="H220" s="397">
        <v>0</v>
      </c>
      <c r="I220" s="397">
        <f t="shared" si="100"/>
        <v>0</v>
      </c>
      <c r="J220" s="413"/>
      <c r="K220" s="401"/>
      <c r="L220" s="192"/>
    </row>
    <row r="221" spans="1:12" s="192" customFormat="1" ht="31.5" hidden="1" x14ac:dyDescent="0.25">
      <c r="A221" s="225" t="s">
        <v>1006</v>
      </c>
      <c r="B221" s="391">
        <v>902</v>
      </c>
      <c r="C221" s="395" t="s">
        <v>150</v>
      </c>
      <c r="D221" s="395" t="s">
        <v>234</v>
      </c>
      <c r="E221" s="187" t="s">
        <v>878</v>
      </c>
      <c r="F221" s="403"/>
      <c r="G221" s="393">
        <f>G222</f>
        <v>0</v>
      </c>
      <c r="H221" s="393">
        <f t="shared" ref="H221:H223" si="113">H222</f>
        <v>0</v>
      </c>
      <c r="I221" s="397" t="e">
        <f t="shared" si="100"/>
        <v>#DIV/0!</v>
      </c>
      <c r="J221" s="413"/>
      <c r="K221" s="401"/>
    </row>
    <row r="222" spans="1:12" s="192" customFormat="1" ht="15.75" hidden="1" x14ac:dyDescent="0.25">
      <c r="A222" s="396" t="s">
        <v>877</v>
      </c>
      <c r="B222" s="390">
        <v>902</v>
      </c>
      <c r="C222" s="392" t="s">
        <v>150</v>
      </c>
      <c r="D222" s="392" t="s">
        <v>234</v>
      </c>
      <c r="E222" s="5" t="s">
        <v>898</v>
      </c>
      <c r="F222" s="398"/>
      <c r="G222" s="397">
        <f>G223</f>
        <v>0</v>
      </c>
      <c r="H222" s="397">
        <f t="shared" si="113"/>
        <v>0</v>
      </c>
      <c r="I222" s="397" t="e">
        <f t="shared" si="100"/>
        <v>#DIV/0!</v>
      </c>
      <c r="J222" s="413"/>
      <c r="K222" s="401"/>
    </row>
    <row r="223" spans="1:12" s="192" customFormat="1" ht="15.75" hidden="1" x14ac:dyDescent="0.25">
      <c r="A223" s="29" t="s">
        <v>135</v>
      </c>
      <c r="B223" s="390">
        <v>902</v>
      </c>
      <c r="C223" s="392" t="s">
        <v>150</v>
      </c>
      <c r="D223" s="392" t="s">
        <v>234</v>
      </c>
      <c r="E223" s="5" t="s">
        <v>898</v>
      </c>
      <c r="F223" s="398" t="s">
        <v>145</v>
      </c>
      <c r="G223" s="397">
        <f>G224</f>
        <v>0</v>
      </c>
      <c r="H223" s="397">
        <f t="shared" si="113"/>
        <v>0</v>
      </c>
      <c r="I223" s="397" t="e">
        <f t="shared" si="100"/>
        <v>#DIV/0!</v>
      </c>
      <c r="J223" s="413"/>
      <c r="K223" s="401"/>
    </row>
    <row r="224" spans="1:12" s="192" customFormat="1" ht="47.25" hidden="1" x14ac:dyDescent="0.25">
      <c r="A224" s="29" t="s">
        <v>184</v>
      </c>
      <c r="B224" s="390">
        <v>902</v>
      </c>
      <c r="C224" s="392" t="s">
        <v>150</v>
      </c>
      <c r="D224" s="392" t="s">
        <v>234</v>
      </c>
      <c r="E224" s="5" t="s">
        <v>898</v>
      </c>
      <c r="F224" s="398" t="s">
        <v>160</v>
      </c>
      <c r="G224" s="397">
        <v>0</v>
      </c>
      <c r="H224" s="397">
        <v>0</v>
      </c>
      <c r="I224" s="397" t="e">
        <f t="shared" si="100"/>
        <v>#DIV/0!</v>
      </c>
      <c r="J224" s="413"/>
      <c r="K224" s="401"/>
    </row>
    <row r="225" spans="1:12" ht="15.75" x14ac:dyDescent="0.25">
      <c r="A225" s="394" t="s">
        <v>237</v>
      </c>
      <c r="B225" s="391">
        <v>902</v>
      </c>
      <c r="C225" s="395" t="s">
        <v>150</v>
      </c>
      <c r="D225" s="395" t="s">
        <v>238</v>
      </c>
      <c r="E225" s="395"/>
      <c r="F225" s="395"/>
      <c r="G225" s="393">
        <f>G226+G233</f>
        <v>364.2</v>
      </c>
      <c r="H225" s="393">
        <f t="shared" ref="H225" si="114">H226+H233</f>
        <v>364.2</v>
      </c>
      <c r="I225" s="393">
        <f t="shared" si="100"/>
        <v>100</v>
      </c>
      <c r="J225" s="413"/>
      <c r="K225" s="401"/>
      <c r="L225" s="192"/>
    </row>
    <row r="226" spans="1:12" ht="31.5" x14ac:dyDescent="0.25">
      <c r="A226" s="394" t="s">
        <v>916</v>
      </c>
      <c r="B226" s="391">
        <v>902</v>
      </c>
      <c r="C226" s="395" t="s">
        <v>150</v>
      </c>
      <c r="D226" s="395" t="s">
        <v>238</v>
      </c>
      <c r="E226" s="395" t="s">
        <v>857</v>
      </c>
      <c r="F226" s="395"/>
      <c r="G226" s="393">
        <f>G227</f>
        <v>264.2</v>
      </c>
      <c r="H226" s="393">
        <f t="shared" ref="H226:H227" si="115">H227</f>
        <v>264.2</v>
      </c>
      <c r="I226" s="393">
        <f t="shared" si="100"/>
        <v>100</v>
      </c>
      <c r="J226" s="413"/>
      <c r="K226" s="401"/>
      <c r="L226" s="192"/>
    </row>
    <row r="227" spans="1:12" ht="31.5" x14ac:dyDescent="0.25">
      <c r="A227" s="394" t="s">
        <v>884</v>
      </c>
      <c r="B227" s="391">
        <v>902</v>
      </c>
      <c r="C227" s="395" t="s">
        <v>150</v>
      </c>
      <c r="D227" s="395" t="s">
        <v>238</v>
      </c>
      <c r="E227" s="395" t="s">
        <v>862</v>
      </c>
      <c r="F227" s="395"/>
      <c r="G227" s="393">
        <f>G228</f>
        <v>264.2</v>
      </c>
      <c r="H227" s="393">
        <f t="shared" si="115"/>
        <v>264.2</v>
      </c>
      <c r="I227" s="393">
        <f t="shared" si="100"/>
        <v>100</v>
      </c>
      <c r="J227" s="413"/>
      <c r="K227" s="401"/>
      <c r="L227" s="192"/>
    </row>
    <row r="228" spans="1:12" ht="69.75" customHeight="1" x14ac:dyDescent="0.25">
      <c r="A228" s="31" t="s">
        <v>241</v>
      </c>
      <c r="B228" s="390">
        <v>902</v>
      </c>
      <c r="C228" s="392" t="s">
        <v>150</v>
      </c>
      <c r="D228" s="392" t="s">
        <v>238</v>
      </c>
      <c r="E228" s="392" t="s">
        <v>923</v>
      </c>
      <c r="F228" s="392"/>
      <c r="G228" s="397">
        <f>G229+G231</f>
        <v>264.2</v>
      </c>
      <c r="H228" s="397">
        <f t="shared" ref="H228" si="116">H229+H231</f>
        <v>264.2</v>
      </c>
      <c r="I228" s="397">
        <f t="shared" si="100"/>
        <v>100</v>
      </c>
      <c r="J228" s="413"/>
      <c r="K228" s="401"/>
      <c r="L228" s="192"/>
    </row>
    <row r="229" spans="1:12" ht="63" x14ac:dyDescent="0.25">
      <c r="A229" s="396" t="s">
        <v>127</v>
      </c>
      <c r="B229" s="390">
        <v>902</v>
      </c>
      <c r="C229" s="392" t="s">
        <v>150</v>
      </c>
      <c r="D229" s="392" t="s">
        <v>238</v>
      </c>
      <c r="E229" s="392" t="s">
        <v>923</v>
      </c>
      <c r="F229" s="392" t="s">
        <v>128</v>
      </c>
      <c r="G229" s="397">
        <f>G230</f>
        <v>240.2</v>
      </c>
      <c r="H229" s="397">
        <f t="shared" ref="H229" si="117">H230</f>
        <v>240.2</v>
      </c>
      <c r="I229" s="397">
        <f t="shared" si="100"/>
        <v>100</v>
      </c>
      <c r="J229" s="413"/>
      <c r="K229" s="401"/>
      <c r="L229" s="192"/>
    </row>
    <row r="230" spans="1:12" ht="31.5" x14ac:dyDescent="0.25">
      <c r="A230" s="396" t="s">
        <v>129</v>
      </c>
      <c r="B230" s="390">
        <v>902</v>
      </c>
      <c r="C230" s="392" t="s">
        <v>150</v>
      </c>
      <c r="D230" s="392" t="s">
        <v>238</v>
      </c>
      <c r="E230" s="392" t="s">
        <v>923</v>
      </c>
      <c r="F230" s="392" t="s">
        <v>130</v>
      </c>
      <c r="G230" s="397">
        <f>187+11.4+41.8</f>
        <v>240.2</v>
      </c>
      <c r="H230" s="397">
        <v>240.2</v>
      </c>
      <c r="I230" s="397">
        <f t="shared" si="100"/>
        <v>100</v>
      </c>
      <c r="J230" s="413"/>
      <c r="K230" s="401"/>
      <c r="L230" s="192"/>
    </row>
    <row r="231" spans="1:12" ht="31.5" x14ac:dyDescent="0.25">
      <c r="A231" s="396" t="s">
        <v>131</v>
      </c>
      <c r="B231" s="390">
        <v>902</v>
      </c>
      <c r="C231" s="392" t="s">
        <v>150</v>
      </c>
      <c r="D231" s="392" t="s">
        <v>238</v>
      </c>
      <c r="E231" s="392" t="s">
        <v>923</v>
      </c>
      <c r="F231" s="392" t="s">
        <v>132</v>
      </c>
      <c r="G231" s="397">
        <f>G232</f>
        <v>24</v>
      </c>
      <c r="H231" s="397">
        <f t="shared" ref="H231" si="118">H232</f>
        <v>24</v>
      </c>
      <c r="I231" s="397">
        <f t="shared" si="100"/>
        <v>100</v>
      </c>
      <c r="J231" s="413"/>
      <c r="K231" s="401"/>
      <c r="L231" s="192"/>
    </row>
    <row r="232" spans="1:12" ht="31.5" x14ac:dyDescent="0.25">
      <c r="A232" s="396" t="s">
        <v>133</v>
      </c>
      <c r="B232" s="390">
        <v>902</v>
      </c>
      <c r="C232" s="392" t="s">
        <v>150</v>
      </c>
      <c r="D232" s="392" t="s">
        <v>238</v>
      </c>
      <c r="E232" s="392" t="s">
        <v>923</v>
      </c>
      <c r="F232" s="392" t="s">
        <v>134</v>
      </c>
      <c r="G232" s="397">
        <f>101.8-36-41.8</f>
        <v>24</v>
      </c>
      <c r="H232" s="397">
        <v>24</v>
      </c>
      <c r="I232" s="397">
        <f t="shared" si="100"/>
        <v>100</v>
      </c>
      <c r="J232" s="413"/>
      <c r="K232" s="401"/>
      <c r="L232" s="192"/>
    </row>
    <row r="233" spans="1:12" s="192" customFormat="1" ht="33.4" customHeight="1" x14ac:dyDescent="0.25">
      <c r="A233" s="394" t="s">
        <v>1335</v>
      </c>
      <c r="B233" s="391">
        <v>902</v>
      </c>
      <c r="C233" s="395" t="s">
        <v>150</v>
      </c>
      <c r="D233" s="395" t="s">
        <v>238</v>
      </c>
      <c r="E233" s="395" t="s">
        <v>156</v>
      </c>
      <c r="F233" s="395"/>
      <c r="G233" s="393">
        <f>G234</f>
        <v>100</v>
      </c>
      <c r="H233" s="393">
        <f t="shared" ref="H233:H236" si="119">H234</f>
        <v>100</v>
      </c>
      <c r="I233" s="393">
        <f t="shared" si="100"/>
        <v>100</v>
      </c>
      <c r="J233" s="413"/>
      <c r="K233" s="401"/>
    </row>
    <row r="234" spans="1:12" s="192" customFormat="1" ht="31.5" x14ac:dyDescent="0.25">
      <c r="A234" s="394" t="s">
        <v>1065</v>
      </c>
      <c r="B234" s="391">
        <v>902</v>
      </c>
      <c r="C234" s="395" t="s">
        <v>150</v>
      </c>
      <c r="D234" s="395" t="s">
        <v>238</v>
      </c>
      <c r="E234" s="395" t="s">
        <v>1062</v>
      </c>
      <c r="F234" s="395"/>
      <c r="G234" s="393">
        <f>G235</f>
        <v>100</v>
      </c>
      <c r="H234" s="393">
        <f t="shared" si="119"/>
        <v>100</v>
      </c>
      <c r="I234" s="393">
        <f t="shared" si="100"/>
        <v>100</v>
      </c>
      <c r="J234" s="413"/>
      <c r="K234" s="401"/>
    </row>
    <row r="235" spans="1:12" s="192" customFormat="1" ht="31.5" x14ac:dyDescent="0.25">
      <c r="A235" s="396" t="s">
        <v>1066</v>
      </c>
      <c r="B235" s="390">
        <v>902</v>
      </c>
      <c r="C235" s="392" t="s">
        <v>150</v>
      </c>
      <c r="D235" s="392" t="s">
        <v>238</v>
      </c>
      <c r="E235" s="392" t="s">
        <v>1063</v>
      </c>
      <c r="F235" s="392"/>
      <c r="G235" s="397">
        <f>G236</f>
        <v>100</v>
      </c>
      <c r="H235" s="397">
        <f t="shared" si="119"/>
        <v>100</v>
      </c>
      <c r="I235" s="397">
        <f t="shared" si="100"/>
        <v>100</v>
      </c>
      <c r="J235" s="413"/>
      <c r="K235" s="401"/>
    </row>
    <row r="236" spans="1:12" s="192" customFormat="1" ht="15.75" x14ac:dyDescent="0.25">
      <c r="A236" s="396" t="s">
        <v>135</v>
      </c>
      <c r="B236" s="390">
        <v>902</v>
      </c>
      <c r="C236" s="392" t="s">
        <v>150</v>
      </c>
      <c r="D236" s="392" t="s">
        <v>238</v>
      </c>
      <c r="E236" s="392" t="s">
        <v>1063</v>
      </c>
      <c r="F236" s="392" t="s">
        <v>145</v>
      </c>
      <c r="G236" s="397">
        <f>G237</f>
        <v>100</v>
      </c>
      <c r="H236" s="397">
        <f t="shared" si="119"/>
        <v>100</v>
      </c>
      <c r="I236" s="397">
        <f t="shared" si="100"/>
        <v>100</v>
      </c>
      <c r="J236" s="413"/>
      <c r="K236" s="401"/>
    </row>
    <row r="237" spans="1:12" s="192" customFormat="1" ht="47.25" x14ac:dyDescent="0.25">
      <c r="A237" s="396" t="s">
        <v>184</v>
      </c>
      <c r="B237" s="390">
        <v>902</v>
      </c>
      <c r="C237" s="392" t="s">
        <v>150</v>
      </c>
      <c r="D237" s="392" t="s">
        <v>238</v>
      </c>
      <c r="E237" s="392" t="s">
        <v>1063</v>
      </c>
      <c r="F237" s="392" t="s">
        <v>160</v>
      </c>
      <c r="G237" s="397">
        <f>150-50</f>
        <v>100</v>
      </c>
      <c r="H237" s="397">
        <v>100</v>
      </c>
      <c r="I237" s="397">
        <f t="shared" si="100"/>
        <v>100</v>
      </c>
      <c r="J237" s="413"/>
      <c r="K237" s="401"/>
    </row>
    <row r="238" spans="1:12" ht="16.5" customHeight="1" x14ac:dyDescent="0.25">
      <c r="A238" s="394" t="s">
        <v>243</v>
      </c>
      <c r="B238" s="391">
        <v>902</v>
      </c>
      <c r="C238" s="395" t="s">
        <v>244</v>
      </c>
      <c r="D238" s="395"/>
      <c r="E238" s="395"/>
      <c r="F238" s="395"/>
      <c r="G238" s="393">
        <f>G239+G245+G251</f>
        <v>14668.43</v>
      </c>
      <c r="H238" s="393">
        <f t="shared" ref="H238" si="120">H239+H245+H251</f>
        <v>14090.696</v>
      </c>
      <c r="I238" s="393">
        <f t="shared" si="100"/>
        <v>96.06137807522687</v>
      </c>
      <c r="J238" s="413"/>
      <c r="K238" s="401"/>
      <c r="L238" s="192"/>
    </row>
    <row r="239" spans="1:12" ht="15.75" x14ac:dyDescent="0.25">
      <c r="A239" s="394" t="s">
        <v>245</v>
      </c>
      <c r="B239" s="391">
        <v>902</v>
      </c>
      <c r="C239" s="395" t="s">
        <v>244</v>
      </c>
      <c r="D239" s="395" t="s">
        <v>118</v>
      </c>
      <c r="E239" s="395"/>
      <c r="F239" s="395"/>
      <c r="G239" s="393">
        <f>G240</f>
        <v>11049.23</v>
      </c>
      <c r="H239" s="393">
        <f t="shared" ref="H239:H243" si="121">H240</f>
        <v>11049.155000000001</v>
      </c>
      <c r="I239" s="393">
        <f t="shared" si="100"/>
        <v>99.999321219668715</v>
      </c>
      <c r="J239" s="413"/>
      <c r="K239" s="401"/>
      <c r="L239" s="192"/>
    </row>
    <row r="240" spans="1:12" ht="15.75" x14ac:dyDescent="0.25">
      <c r="A240" s="394" t="s">
        <v>141</v>
      </c>
      <c r="B240" s="391">
        <v>902</v>
      </c>
      <c r="C240" s="395" t="s">
        <v>244</v>
      </c>
      <c r="D240" s="395" t="s">
        <v>118</v>
      </c>
      <c r="E240" s="395" t="s">
        <v>865</v>
      </c>
      <c r="F240" s="395"/>
      <c r="G240" s="393">
        <f>G241</f>
        <v>11049.23</v>
      </c>
      <c r="H240" s="393">
        <f t="shared" si="121"/>
        <v>11049.155000000001</v>
      </c>
      <c r="I240" s="393">
        <f t="shared" si="100"/>
        <v>99.999321219668715</v>
      </c>
      <c r="J240" s="413"/>
      <c r="K240" s="401"/>
      <c r="L240" s="192"/>
    </row>
    <row r="241" spans="1:12" ht="31.5" x14ac:dyDescent="0.25">
      <c r="A241" s="394" t="s">
        <v>869</v>
      </c>
      <c r="B241" s="391">
        <v>902</v>
      </c>
      <c r="C241" s="395" t="s">
        <v>244</v>
      </c>
      <c r="D241" s="395" t="s">
        <v>118</v>
      </c>
      <c r="E241" s="395" t="s">
        <v>864</v>
      </c>
      <c r="F241" s="395"/>
      <c r="G241" s="393">
        <f>G242</f>
        <v>11049.23</v>
      </c>
      <c r="H241" s="393">
        <f t="shared" si="121"/>
        <v>11049.155000000001</v>
      </c>
      <c r="I241" s="393">
        <f t="shared" si="100"/>
        <v>99.999321219668715</v>
      </c>
      <c r="J241" s="413"/>
      <c r="K241" s="401"/>
      <c r="L241" s="192"/>
    </row>
    <row r="242" spans="1:12" ht="15.75" x14ac:dyDescent="0.25">
      <c r="A242" s="396" t="s">
        <v>246</v>
      </c>
      <c r="B242" s="390">
        <v>902</v>
      </c>
      <c r="C242" s="392" t="s">
        <v>244</v>
      </c>
      <c r="D242" s="392" t="s">
        <v>118</v>
      </c>
      <c r="E242" s="392" t="s">
        <v>880</v>
      </c>
      <c r="F242" s="392"/>
      <c r="G242" s="397">
        <f>G243</f>
        <v>11049.23</v>
      </c>
      <c r="H242" s="397">
        <f t="shared" si="121"/>
        <v>11049.155000000001</v>
      </c>
      <c r="I242" s="397">
        <f t="shared" si="100"/>
        <v>99.999321219668715</v>
      </c>
      <c r="J242" s="413"/>
      <c r="K242" s="401"/>
      <c r="L242" s="192"/>
    </row>
    <row r="243" spans="1:12" ht="15.75" x14ac:dyDescent="0.25">
      <c r="A243" s="396" t="s">
        <v>248</v>
      </c>
      <c r="B243" s="390">
        <v>902</v>
      </c>
      <c r="C243" s="392" t="s">
        <v>244</v>
      </c>
      <c r="D243" s="392" t="s">
        <v>118</v>
      </c>
      <c r="E243" s="392" t="s">
        <v>880</v>
      </c>
      <c r="F243" s="392" t="s">
        <v>249</v>
      </c>
      <c r="G243" s="397">
        <f>G244</f>
        <v>11049.23</v>
      </c>
      <c r="H243" s="397">
        <f t="shared" si="121"/>
        <v>11049.155000000001</v>
      </c>
      <c r="I243" s="397">
        <f t="shared" si="100"/>
        <v>99.999321219668715</v>
      </c>
      <c r="J243" s="413"/>
      <c r="K243" s="401"/>
      <c r="L243" s="192"/>
    </row>
    <row r="244" spans="1:12" ht="15.75" x14ac:dyDescent="0.25">
      <c r="A244" s="396" t="s">
        <v>348</v>
      </c>
      <c r="B244" s="390">
        <v>902</v>
      </c>
      <c r="C244" s="392" t="s">
        <v>244</v>
      </c>
      <c r="D244" s="392" t="s">
        <v>118</v>
      </c>
      <c r="E244" s="392" t="s">
        <v>880</v>
      </c>
      <c r="F244" s="392" t="s">
        <v>349</v>
      </c>
      <c r="G244" s="27">
        <f>9815.3+547+592.43+94.5</f>
        <v>11049.23</v>
      </c>
      <c r="H244" s="27">
        <v>11049.155000000001</v>
      </c>
      <c r="I244" s="397">
        <f t="shared" si="100"/>
        <v>99.999321219668715</v>
      </c>
      <c r="J244" s="413"/>
      <c r="K244" s="401"/>
      <c r="L244" s="192"/>
    </row>
    <row r="245" spans="1:12" ht="15.75" hidden="1" x14ac:dyDescent="0.25">
      <c r="A245" s="394" t="s">
        <v>252</v>
      </c>
      <c r="B245" s="391">
        <v>902</v>
      </c>
      <c r="C245" s="395" t="s">
        <v>244</v>
      </c>
      <c r="D245" s="395" t="s">
        <v>215</v>
      </c>
      <c r="E245" s="392"/>
      <c r="F245" s="392"/>
      <c r="G245" s="393">
        <f>G246</f>
        <v>0</v>
      </c>
      <c r="H245" s="393">
        <f t="shared" ref="H245:H249" si="122">H246</f>
        <v>0</v>
      </c>
      <c r="I245" s="397" t="e">
        <f t="shared" si="100"/>
        <v>#DIV/0!</v>
      </c>
      <c r="J245" s="413"/>
      <c r="K245" s="401"/>
      <c r="L245" s="192"/>
    </row>
    <row r="246" spans="1:12" ht="47.25" hidden="1" x14ac:dyDescent="0.25">
      <c r="A246" s="394" t="s">
        <v>1345</v>
      </c>
      <c r="B246" s="391">
        <v>902</v>
      </c>
      <c r="C246" s="395" t="s">
        <v>244</v>
      </c>
      <c r="D246" s="395" t="s">
        <v>215</v>
      </c>
      <c r="E246" s="395" t="s">
        <v>254</v>
      </c>
      <c r="F246" s="395"/>
      <c r="G246" s="393">
        <f>G247</f>
        <v>0</v>
      </c>
      <c r="H246" s="393">
        <f t="shared" si="122"/>
        <v>0</v>
      </c>
      <c r="I246" s="397" t="e">
        <f t="shared" si="100"/>
        <v>#DIV/0!</v>
      </c>
      <c r="J246" s="413"/>
      <c r="K246" s="401"/>
      <c r="L246" s="192"/>
    </row>
    <row r="247" spans="1:12" s="192" customFormat="1" ht="31.5" hidden="1" x14ac:dyDescent="0.25">
      <c r="A247" s="34" t="s">
        <v>883</v>
      </c>
      <c r="B247" s="391">
        <v>902</v>
      </c>
      <c r="C247" s="395" t="s">
        <v>244</v>
      </c>
      <c r="D247" s="395" t="s">
        <v>215</v>
      </c>
      <c r="E247" s="395" t="s">
        <v>881</v>
      </c>
      <c r="F247" s="395"/>
      <c r="G247" s="393">
        <f>G248</f>
        <v>0</v>
      </c>
      <c r="H247" s="393">
        <f t="shared" si="122"/>
        <v>0</v>
      </c>
      <c r="I247" s="397" t="e">
        <f t="shared" si="100"/>
        <v>#DIV/0!</v>
      </c>
      <c r="J247" s="413"/>
      <c r="K247" s="401"/>
    </row>
    <row r="248" spans="1:12" ht="28.5" hidden="1" customHeight="1" x14ac:dyDescent="0.25">
      <c r="A248" s="396" t="s">
        <v>1188</v>
      </c>
      <c r="B248" s="390">
        <v>902</v>
      </c>
      <c r="C248" s="392" t="s">
        <v>244</v>
      </c>
      <c r="D248" s="392" t="s">
        <v>215</v>
      </c>
      <c r="E248" s="392" t="s">
        <v>1186</v>
      </c>
      <c r="F248" s="392"/>
      <c r="G248" s="397">
        <f>G249</f>
        <v>0</v>
      </c>
      <c r="H248" s="397">
        <f t="shared" si="122"/>
        <v>0</v>
      </c>
      <c r="I248" s="397" t="e">
        <f t="shared" si="100"/>
        <v>#DIV/0!</v>
      </c>
      <c r="J248" s="413"/>
      <c r="K248" s="401"/>
      <c r="L248" s="192"/>
    </row>
    <row r="249" spans="1:12" ht="19.5" hidden="1" customHeight="1" x14ac:dyDescent="0.25">
      <c r="A249" s="396" t="s">
        <v>248</v>
      </c>
      <c r="B249" s="390">
        <v>902</v>
      </c>
      <c r="C249" s="392" t="s">
        <v>244</v>
      </c>
      <c r="D249" s="392" t="s">
        <v>215</v>
      </c>
      <c r="E249" s="392" t="s">
        <v>1186</v>
      </c>
      <c r="F249" s="392" t="s">
        <v>249</v>
      </c>
      <c r="G249" s="397">
        <f>G250</f>
        <v>0</v>
      </c>
      <c r="H249" s="397">
        <f t="shared" si="122"/>
        <v>0</v>
      </c>
      <c r="I249" s="397" t="e">
        <f t="shared" si="100"/>
        <v>#DIV/0!</v>
      </c>
      <c r="J249" s="413"/>
      <c r="K249" s="401"/>
      <c r="L249" s="192"/>
    </row>
    <row r="250" spans="1:12" ht="31.5" hidden="1" x14ac:dyDescent="0.25">
      <c r="A250" s="396" t="s">
        <v>250</v>
      </c>
      <c r="B250" s="390">
        <v>902</v>
      </c>
      <c r="C250" s="392" t="s">
        <v>244</v>
      </c>
      <c r="D250" s="392" t="s">
        <v>215</v>
      </c>
      <c r="E250" s="392" t="s">
        <v>1186</v>
      </c>
      <c r="F250" s="392" t="s">
        <v>251</v>
      </c>
      <c r="G250" s="397">
        <f>10-10</f>
        <v>0</v>
      </c>
      <c r="H250" s="397">
        <f t="shared" ref="H250" si="123">10-10</f>
        <v>0</v>
      </c>
      <c r="I250" s="397" t="e">
        <f t="shared" si="100"/>
        <v>#DIV/0!</v>
      </c>
      <c r="J250" s="413"/>
      <c r="K250" s="401"/>
      <c r="L250" s="192"/>
    </row>
    <row r="251" spans="1:12" ht="15.75" x14ac:dyDescent="0.25">
      <c r="A251" s="394" t="s">
        <v>258</v>
      </c>
      <c r="B251" s="391">
        <v>902</v>
      </c>
      <c r="C251" s="395" t="s">
        <v>244</v>
      </c>
      <c r="D251" s="395" t="s">
        <v>120</v>
      </c>
      <c r="E251" s="395"/>
      <c r="F251" s="395"/>
      <c r="G251" s="393">
        <f>G252</f>
        <v>3619.2000000000007</v>
      </c>
      <c r="H251" s="393">
        <f t="shared" ref="H251:H253" si="124">H252</f>
        <v>3041.5409999999997</v>
      </c>
      <c r="I251" s="393">
        <f t="shared" si="100"/>
        <v>84.039041777188302</v>
      </c>
      <c r="J251" s="413"/>
      <c r="K251" s="401"/>
      <c r="L251" s="192"/>
    </row>
    <row r="252" spans="1:12" ht="31.5" x14ac:dyDescent="0.25">
      <c r="A252" s="394" t="s">
        <v>916</v>
      </c>
      <c r="B252" s="391">
        <v>902</v>
      </c>
      <c r="C252" s="395" t="s">
        <v>244</v>
      </c>
      <c r="D252" s="395" t="s">
        <v>120</v>
      </c>
      <c r="E252" s="395" t="s">
        <v>857</v>
      </c>
      <c r="F252" s="395"/>
      <c r="G252" s="393">
        <f>G253</f>
        <v>3619.2000000000007</v>
      </c>
      <c r="H252" s="393">
        <f t="shared" si="124"/>
        <v>3041.5409999999997</v>
      </c>
      <c r="I252" s="393">
        <f t="shared" si="100"/>
        <v>84.039041777188302</v>
      </c>
      <c r="J252" s="413"/>
      <c r="K252" s="401"/>
      <c r="L252" s="192"/>
    </row>
    <row r="253" spans="1:12" ht="31.5" x14ac:dyDescent="0.25">
      <c r="A253" s="394" t="s">
        <v>884</v>
      </c>
      <c r="B253" s="391">
        <v>902</v>
      </c>
      <c r="C253" s="395" t="s">
        <v>244</v>
      </c>
      <c r="D253" s="395" t="s">
        <v>120</v>
      </c>
      <c r="E253" s="395" t="s">
        <v>862</v>
      </c>
      <c r="F253" s="395"/>
      <c r="G253" s="393">
        <f>G254</f>
        <v>3619.2000000000007</v>
      </c>
      <c r="H253" s="393">
        <f t="shared" si="124"/>
        <v>3041.5409999999997</v>
      </c>
      <c r="I253" s="393">
        <f t="shared" si="100"/>
        <v>84.039041777188302</v>
      </c>
      <c r="J253" s="413"/>
      <c r="K253" s="401"/>
      <c r="L253" s="192"/>
    </row>
    <row r="254" spans="1:12" ht="47.25" customHeight="1" x14ac:dyDescent="0.25">
      <c r="A254" s="31" t="s">
        <v>259</v>
      </c>
      <c r="B254" s="390">
        <v>902</v>
      </c>
      <c r="C254" s="392" t="s">
        <v>244</v>
      </c>
      <c r="D254" s="392" t="s">
        <v>120</v>
      </c>
      <c r="E254" s="392" t="s">
        <v>924</v>
      </c>
      <c r="F254" s="392"/>
      <c r="G254" s="397">
        <f>G255+G257</f>
        <v>3619.2000000000007</v>
      </c>
      <c r="H254" s="397">
        <f t="shared" ref="H254" si="125">H255+H257</f>
        <v>3041.5409999999997</v>
      </c>
      <c r="I254" s="397">
        <f t="shared" si="100"/>
        <v>84.039041777188302</v>
      </c>
      <c r="J254" s="413"/>
      <c r="K254" s="401"/>
      <c r="L254" s="192"/>
    </row>
    <row r="255" spans="1:12" ht="63" x14ac:dyDescent="0.25">
      <c r="A255" s="396" t="s">
        <v>127</v>
      </c>
      <c r="B255" s="390">
        <v>902</v>
      </c>
      <c r="C255" s="392" t="s">
        <v>244</v>
      </c>
      <c r="D255" s="392" t="s">
        <v>120</v>
      </c>
      <c r="E255" s="392" t="s">
        <v>924</v>
      </c>
      <c r="F255" s="392" t="s">
        <v>128</v>
      </c>
      <c r="G255" s="397">
        <f>G256</f>
        <v>3313.0000000000005</v>
      </c>
      <c r="H255" s="397">
        <f t="shared" ref="H255" si="126">H256</f>
        <v>2806.3589999999999</v>
      </c>
      <c r="I255" s="397">
        <f t="shared" si="100"/>
        <v>84.707485662541487</v>
      </c>
      <c r="J255" s="413"/>
      <c r="K255" s="401"/>
      <c r="L255" s="192"/>
    </row>
    <row r="256" spans="1:12" ht="31.5" x14ac:dyDescent="0.25">
      <c r="A256" s="396" t="s">
        <v>129</v>
      </c>
      <c r="B256" s="390">
        <v>902</v>
      </c>
      <c r="C256" s="392" t="s">
        <v>244</v>
      </c>
      <c r="D256" s="392" t="s">
        <v>120</v>
      </c>
      <c r="E256" s="392" t="s">
        <v>924</v>
      </c>
      <c r="F256" s="392" t="s">
        <v>130</v>
      </c>
      <c r="G256" s="27">
        <f>3353.3-132.5-2.2+94.4</f>
        <v>3313.0000000000005</v>
      </c>
      <c r="H256" s="27">
        <v>2806.3589999999999</v>
      </c>
      <c r="I256" s="397">
        <f t="shared" si="100"/>
        <v>84.707485662541487</v>
      </c>
      <c r="J256" s="413"/>
      <c r="K256" s="401"/>
      <c r="L256" s="192"/>
    </row>
    <row r="257" spans="1:12" ht="31.5" x14ac:dyDescent="0.25">
      <c r="A257" s="396" t="s">
        <v>131</v>
      </c>
      <c r="B257" s="390">
        <v>902</v>
      </c>
      <c r="C257" s="392" t="s">
        <v>244</v>
      </c>
      <c r="D257" s="392" t="s">
        <v>120</v>
      </c>
      <c r="E257" s="392" t="s">
        <v>924</v>
      </c>
      <c r="F257" s="392" t="s">
        <v>132</v>
      </c>
      <c r="G257" s="397">
        <f>G258</f>
        <v>306.20000000000005</v>
      </c>
      <c r="H257" s="397">
        <f t="shared" ref="H257" si="127">H258</f>
        <v>235.18199999999999</v>
      </c>
      <c r="I257" s="397">
        <f t="shared" si="100"/>
        <v>76.806662312214229</v>
      </c>
      <c r="J257" s="413"/>
      <c r="K257" s="401"/>
      <c r="L257" s="192"/>
    </row>
    <row r="258" spans="1:12" ht="31.5" x14ac:dyDescent="0.25">
      <c r="A258" s="396" t="s">
        <v>133</v>
      </c>
      <c r="B258" s="390">
        <v>902</v>
      </c>
      <c r="C258" s="392" t="s">
        <v>244</v>
      </c>
      <c r="D258" s="392" t="s">
        <v>120</v>
      </c>
      <c r="E258" s="392" t="s">
        <v>924</v>
      </c>
      <c r="F258" s="392" t="s">
        <v>134</v>
      </c>
      <c r="G258" s="27">
        <f>268.1+132.5-94.4</f>
        <v>306.20000000000005</v>
      </c>
      <c r="H258" s="27">
        <v>235.18199999999999</v>
      </c>
      <c r="I258" s="397">
        <f t="shared" si="100"/>
        <v>76.806662312214229</v>
      </c>
      <c r="J258" s="413"/>
      <c r="K258" s="401"/>
      <c r="L258" s="192"/>
    </row>
    <row r="259" spans="1:12" ht="48.75" customHeight="1" x14ac:dyDescent="0.25">
      <c r="A259" s="391" t="s">
        <v>261</v>
      </c>
      <c r="B259" s="391">
        <v>903</v>
      </c>
      <c r="C259" s="392"/>
      <c r="D259" s="392"/>
      <c r="E259" s="392"/>
      <c r="F259" s="392"/>
      <c r="G259" s="393">
        <f>G318+G396+G503+G260+G298+G528</f>
        <v>112981.58409999999</v>
      </c>
      <c r="H259" s="393">
        <f t="shared" ref="H259" si="128">H318+H396+H503+H260+H298+H528</f>
        <v>111032.8</v>
      </c>
      <c r="I259" s="393">
        <f t="shared" si="100"/>
        <v>98.275131194589093</v>
      </c>
      <c r="J259" s="413"/>
      <c r="K259" s="401"/>
      <c r="L259" s="192"/>
    </row>
    <row r="260" spans="1:12" ht="15.75" x14ac:dyDescent="0.25">
      <c r="A260" s="394" t="s">
        <v>117</v>
      </c>
      <c r="B260" s="391">
        <v>903</v>
      </c>
      <c r="C260" s="395" t="s">
        <v>118</v>
      </c>
      <c r="D260" s="392"/>
      <c r="E260" s="392"/>
      <c r="F260" s="392"/>
      <c r="G260" s="393">
        <f>G261</f>
        <v>697.80000000000007</v>
      </c>
      <c r="H260" s="393">
        <f t="shared" ref="H260" si="129">H261</f>
        <v>697.77700000000004</v>
      </c>
      <c r="I260" s="393">
        <f t="shared" si="100"/>
        <v>99.996703926626537</v>
      </c>
      <c r="J260" s="413"/>
      <c r="K260" s="401"/>
      <c r="L260" s="192"/>
    </row>
    <row r="261" spans="1:12" ht="15.75" x14ac:dyDescent="0.25">
      <c r="A261" s="394" t="s">
        <v>139</v>
      </c>
      <c r="B261" s="391">
        <v>903</v>
      </c>
      <c r="C261" s="395" t="s">
        <v>118</v>
      </c>
      <c r="D261" s="395" t="s">
        <v>140</v>
      </c>
      <c r="E261" s="392"/>
      <c r="F261" s="392"/>
      <c r="G261" s="393">
        <f>G262+G271+G288+G293</f>
        <v>697.80000000000007</v>
      </c>
      <c r="H261" s="393">
        <f t="shared" ref="H261" si="130">H262+H271+H288+H293</f>
        <v>697.77700000000004</v>
      </c>
      <c r="I261" s="393">
        <f t="shared" si="100"/>
        <v>99.996703926626537</v>
      </c>
      <c r="J261" s="413"/>
      <c r="K261" s="401"/>
      <c r="L261" s="192"/>
    </row>
    <row r="262" spans="1:12" ht="47.25" x14ac:dyDescent="0.25">
      <c r="A262" s="394" t="s">
        <v>1346</v>
      </c>
      <c r="B262" s="391">
        <v>903</v>
      </c>
      <c r="C262" s="8" t="s">
        <v>118</v>
      </c>
      <c r="D262" s="8" t="s">
        <v>140</v>
      </c>
      <c r="E262" s="187" t="s">
        <v>344</v>
      </c>
      <c r="F262" s="8"/>
      <c r="G262" s="393">
        <f>G263</f>
        <v>641.6</v>
      </c>
      <c r="H262" s="393">
        <f t="shared" ref="H262:H263" si="131">H263</f>
        <v>641.6</v>
      </c>
      <c r="I262" s="393">
        <f t="shared" si="100"/>
        <v>100</v>
      </c>
      <c r="J262" s="413"/>
      <c r="K262" s="401"/>
      <c r="L262" s="192"/>
    </row>
    <row r="263" spans="1:12" ht="73.5" customHeight="1" x14ac:dyDescent="0.25">
      <c r="A263" s="400" t="s">
        <v>1347</v>
      </c>
      <c r="B263" s="391">
        <v>903</v>
      </c>
      <c r="C263" s="7" t="s">
        <v>118</v>
      </c>
      <c r="D263" s="7" t="s">
        <v>140</v>
      </c>
      <c r="E263" s="7" t="s">
        <v>359</v>
      </c>
      <c r="F263" s="7"/>
      <c r="G263" s="393">
        <f>G264</f>
        <v>641.6</v>
      </c>
      <c r="H263" s="393">
        <f t="shared" si="131"/>
        <v>641.6</v>
      </c>
      <c r="I263" s="393">
        <f t="shared" si="100"/>
        <v>100</v>
      </c>
      <c r="J263" s="413"/>
      <c r="K263" s="401"/>
      <c r="L263" s="192"/>
    </row>
    <row r="264" spans="1:12" s="192" customFormat="1" ht="47.25" x14ac:dyDescent="0.25">
      <c r="A264" s="232" t="s">
        <v>1045</v>
      </c>
      <c r="B264" s="391">
        <v>903</v>
      </c>
      <c r="C264" s="7" t="s">
        <v>118</v>
      </c>
      <c r="D264" s="7" t="s">
        <v>140</v>
      </c>
      <c r="E264" s="7" t="s">
        <v>908</v>
      </c>
      <c r="F264" s="7"/>
      <c r="G264" s="393">
        <f>G265+G268</f>
        <v>641.6</v>
      </c>
      <c r="H264" s="393">
        <f t="shared" ref="H264" si="132">H265+H268</f>
        <v>641.6</v>
      </c>
      <c r="I264" s="393">
        <f t="shared" si="100"/>
        <v>100</v>
      </c>
      <c r="J264" s="413"/>
      <c r="K264" s="401"/>
    </row>
    <row r="265" spans="1:12" ht="31.5" x14ac:dyDescent="0.25">
      <c r="A265" s="98" t="s">
        <v>1096</v>
      </c>
      <c r="B265" s="390">
        <v>903</v>
      </c>
      <c r="C265" s="399" t="s">
        <v>118</v>
      </c>
      <c r="D265" s="399" t="s">
        <v>140</v>
      </c>
      <c r="E265" s="399" t="s">
        <v>1196</v>
      </c>
      <c r="F265" s="399"/>
      <c r="G265" s="397">
        <f>G266</f>
        <v>451</v>
      </c>
      <c r="H265" s="397">
        <f t="shared" ref="H265:H266" si="133">H266</f>
        <v>451</v>
      </c>
      <c r="I265" s="397">
        <f t="shared" si="100"/>
        <v>100</v>
      </c>
      <c r="J265" s="413"/>
      <c r="K265" s="401"/>
      <c r="L265" s="192"/>
    </row>
    <row r="266" spans="1:12" ht="31.5" x14ac:dyDescent="0.25">
      <c r="A266" s="29" t="s">
        <v>131</v>
      </c>
      <c r="B266" s="390">
        <v>903</v>
      </c>
      <c r="C266" s="399" t="s">
        <v>118</v>
      </c>
      <c r="D266" s="399" t="s">
        <v>140</v>
      </c>
      <c r="E266" s="399" t="s">
        <v>1196</v>
      </c>
      <c r="F266" s="399" t="s">
        <v>132</v>
      </c>
      <c r="G266" s="397">
        <f>G267</f>
        <v>451</v>
      </c>
      <c r="H266" s="397">
        <f t="shared" si="133"/>
        <v>451</v>
      </c>
      <c r="I266" s="397">
        <f t="shared" ref="I266:I329" si="134">H266/G266*100</f>
        <v>100</v>
      </c>
      <c r="J266" s="413"/>
      <c r="K266" s="401"/>
      <c r="L266" s="192"/>
    </row>
    <row r="267" spans="1:12" ht="31.5" x14ac:dyDescent="0.25">
      <c r="A267" s="29" t="s">
        <v>133</v>
      </c>
      <c r="B267" s="390">
        <v>903</v>
      </c>
      <c r="C267" s="399" t="s">
        <v>118</v>
      </c>
      <c r="D267" s="399" t="s">
        <v>140</v>
      </c>
      <c r="E267" s="399" t="s">
        <v>1196</v>
      </c>
      <c r="F267" s="399" t="s">
        <v>134</v>
      </c>
      <c r="G267" s="397">
        <f>200+238.4+8.9-0.9+4.6</f>
        <v>451</v>
      </c>
      <c r="H267" s="397">
        <v>451</v>
      </c>
      <c r="I267" s="397">
        <f t="shared" si="134"/>
        <v>100</v>
      </c>
      <c r="J267" s="413"/>
      <c r="K267" s="401"/>
      <c r="L267" s="192"/>
    </row>
    <row r="268" spans="1:12" s="192" customFormat="1" ht="31.5" x14ac:dyDescent="0.25">
      <c r="A268" s="45" t="s">
        <v>1546</v>
      </c>
      <c r="B268" s="390">
        <v>903</v>
      </c>
      <c r="C268" s="399" t="s">
        <v>118</v>
      </c>
      <c r="D268" s="399" t="s">
        <v>140</v>
      </c>
      <c r="E268" s="399" t="s">
        <v>1575</v>
      </c>
      <c r="F268" s="399"/>
      <c r="G268" s="397">
        <f>G269</f>
        <v>190.6</v>
      </c>
      <c r="H268" s="397">
        <f t="shared" ref="H268:H269" si="135">H269</f>
        <v>190.6</v>
      </c>
      <c r="I268" s="397">
        <f t="shared" si="134"/>
        <v>100</v>
      </c>
      <c r="J268" s="413"/>
      <c r="K268" s="401"/>
    </row>
    <row r="269" spans="1:12" s="192" customFormat="1" ht="31.5" x14ac:dyDescent="0.25">
      <c r="A269" s="29" t="s">
        <v>131</v>
      </c>
      <c r="B269" s="390">
        <v>903</v>
      </c>
      <c r="C269" s="399" t="s">
        <v>118</v>
      </c>
      <c r="D269" s="399" t="s">
        <v>140</v>
      </c>
      <c r="E269" s="399" t="s">
        <v>1575</v>
      </c>
      <c r="F269" s="399" t="s">
        <v>132</v>
      </c>
      <c r="G269" s="397">
        <f>G270</f>
        <v>190.6</v>
      </c>
      <c r="H269" s="397">
        <f t="shared" si="135"/>
        <v>190.6</v>
      </c>
      <c r="I269" s="397">
        <f t="shared" si="134"/>
        <v>100</v>
      </c>
      <c r="J269" s="413"/>
      <c r="K269" s="401"/>
    </row>
    <row r="270" spans="1:12" s="192" customFormat="1" ht="31.5" x14ac:dyDescent="0.25">
      <c r="A270" s="29" t="s">
        <v>133</v>
      </c>
      <c r="B270" s="390">
        <v>903</v>
      </c>
      <c r="C270" s="399" t="s">
        <v>118</v>
      </c>
      <c r="D270" s="399" t="s">
        <v>140</v>
      </c>
      <c r="E270" s="399" t="s">
        <v>1575</v>
      </c>
      <c r="F270" s="399" t="s">
        <v>134</v>
      </c>
      <c r="G270" s="397">
        <f>190.6</f>
        <v>190.6</v>
      </c>
      <c r="H270" s="397">
        <v>190.6</v>
      </c>
      <c r="I270" s="397">
        <f t="shared" si="134"/>
        <v>100</v>
      </c>
      <c r="J270" s="413"/>
      <c r="K270" s="401"/>
    </row>
    <row r="271" spans="1:12" ht="31.5" x14ac:dyDescent="0.25">
      <c r="A271" s="394" t="s">
        <v>1348</v>
      </c>
      <c r="B271" s="391">
        <v>903</v>
      </c>
      <c r="C271" s="395" t="s">
        <v>118</v>
      </c>
      <c r="D271" s="395" t="s">
        <v>140</v>
      </c>
      <c r="E271" s="395" t="s">
        <v>335</v>
      </c>
      <c r="F271" s="395"/>
      <c r="G271" s="393">
        <f>G272</f>
        <v>20</v>
      </c>
      <c r="H271" s="393">
        <f t="shared" ref="H271" si="136">H272</f>
        <v>20</v>
      </c>
      <c r="I271" s="393">
        <f t="shared" si="134"/>
        <v>100</v>
      </c>
      <c r="J271" s="413"/>
      <c r="K271" s="401"/>
      <c r="L271" s="192"/>
    </row>
    <row r="272" spans="1:12" s="192" customFormat="1" ht="31.5" x14ac:dyDescent="0.25">
      <c r="A272" s="394" t="s">
        <v>1050</v>
      </c>
      <c r="B272" s="391">
        <v>903</v>
      </c>
      <c r="C272" s="395" t="s">
        <v>118</v>
      </c>
      <c r="D272" s="395" t="s">
        <v>140</v>
      </c>
      <c r="E272" s="395" t="s">
        <v>1051</v>
      </c>
      <c r="F272" s="395"/>
      <c r="G272" s="393">
        <f>G273+G276+G279+G282+G285</f>
        <v>20</v>
      </c>
      <c r="H272" s="393">
        <f t="shared" ref="H272" si="137">H273+H276+H279+H282+H285</f>
        <v>20</v>
      </c>
      <c r="I272" s="393">
        <f t="shared" si="134"/>
        <v>100</v>
      </c>
      <c r="J272" s="413"/>
      <c r="K272" s="401"/>
    </row>
    <row r="273" spans="1:12" ht="31.5" hidden="1" x14ac:dyDescent="0.25">
      <c r="A273" s="97" t="s">
        <v>336</v>
      </c>
      <c r="B273" s="390">
        <v>903</v>
      </c>
      <c r="C273" s="392" t="s">
        <v>118</v>
      </c>
      <c r="D273" s="392" t="s">
        <v>140</v>
      </c>
      <c r="E273" s="392" t="s">
        <v>1052</v>
      </c>
      <c r="F273" s="392"/>
      <c r="G273" s="397">
        <f>G274</f>
        <v>0</v>
      </c>
      <c r="H273" s="397">
        <f t="shared" ref="H273:H274" si="138">H274</f>
        <v>0</v>
      </c>
      <c r="I273" s="397" t="e">
        <f t="shared" si="134"/>
        <v>#DIV/0!</v>
      </c>
      <c r="J273" s="413"/>
      <c r="K273" s="401"/>
      <c r="L273" s="192"/>
    </row>
    <row r="274" spans="1:12" ht="31.5" hidden="1" x14ac:dyDescent="0.25">
      <c r="A274" s="396" t="s">
        <v>131</v>
      </c>
      <c r="B274" s="390">
        <v>903</v>
      </c>
      <c r="C274" s="392" t="s">
        <v>118</v>
      </c>
      <c r="D274" s="392" t="s">
        <v>140</v>
      </c>
      <c r="E274" s="392" t="s">
        <v>1052</v>
      </c>
      <c r="F274" s="392" t="s">
        <v>132</v>
      </c>
      <c r="G274" s="397">
        <f>G275</f>
        <v>0</v>
      </c>
      <c r="H274" s="397">
        <f t="shared" si="138"/>
        <v>0</v>
      </c>
      <c r="I274" s="397" t="e">
        <f t="shared" si="134"/>
        <v>#DIV/0!</v>
      </c>
      <c r="J274" s="413"/>
      <c r="K274" s="401"/>
      <c r="L274" s="192"/>
    </row>
    <row r="275" spans="1:12" ht="31.5" hidden="1" x14ac:dyDescent="0.25">
      <c r="A275" s="396" t="s">
        <v>133</v>
      </c>
      <c r="B275" s="390">
        <v>903</v>
      </c>
      <c r="C275" s="392" t="s">
        <v>118</v>
      </c>
      <c r="D275" s="392" t="s">
        <v>140</v>
      </c>
      <c r="E275" s="392" t="s">
        <v>1052</v>
      </c>
      <c r="F275" s="392" t="s">
        <v>134</v>
      </c>
      <c r="G275" s="397">
        <v>0</v>
      </c>
      <c r="H275" s="397">
        <v>0</v>
      </c>
      <c r="I275" s="397" t="e">
        <f t="shared" si="134"/>
        <v>#DIV/0!</v>
      </c>
      <c r="J275" s="413"/>
      <c r="K275" s="401"/>
      <c r="L275" s="192"/>
    </row>
    <row r="276" spans="1:12" ht="15.75" x14ac:dyDescent="0.25">
      <c r="A276" s="396" t="s">
        <v>338</v>
      </c>
      <c r="B276" s="390">
        <v>903</v>
      </c>
      <c r="C276" s="392" t="s">
        <v>118</v>
      </c>
      <c r="D276" s="392" t="s">
        <v>140</v>
      </c>
      <c r="E276" s="392" t="s">
        <v>1053</v>
      </c>
      <c r="F276" s="392"/>
      <c r="G276" s="397">
        <f>G277</f>
        <v>20</v>
      </c>
      <c r="H276" s="397">
        <f t="shared" ref="H276:H277" si="139">H277</f>
        <v>20</v>
      </c>
      <c r="I276" s="397">
        <f t="shared" si="134"/>
        <v>100</v>
      </c>
      <c r="J276" s="413"/>
      <c r="K276" s="401"/>
      <c r="L276" s="192"/>
    </row>
    <row r="277" spans="1:12" ht="31.5" x14ac:dyDescent="0.25">
      <c r="A277" s="396" t="s">
        <v>131</v>
      </c>
      <c r="B277" s="390">
        <v>903</v>
      </c>
      <c r="C277" s="392" t="s">
        <v>118</v>
      </c>
      <c r="D277" s="392" t="s">
        <v>140</v>
      </c>
      <c r="E277" s="392" t="s">
        <v>1053</v>
      </c>
      <c r="F277" s="392" t="s">
        <v>132</v>
      </c>
      <c r="G277" s="397">
        <f>G278</f>
        <v>20</v>
      </c>
      <c r="H277" s="397">
        <f t="shared" si="139"/>
        <v>20</v>
      </c>
      <c r="I277" s="397">
        <f t="shared" si="134"/>
        <v>100</v>
      </c>
      <c r="J277" s="413"/>
      <c r="K277" s="401"/>
      <c r="L277" s="192"/>
    </row>
    <row r="278" spans="1:12" ht="31.5" x14ac:dyDescent="0.25">
      <c r="A278" s="396" t="s">
        <v>133</v>
      </c>
      <c r="B278" s="390">
        <v>903</v>
      </c>
      <c r="C278" s="392" t="s">
        <v>118</v>
      </c>
      <c r="D278" s="392" t="s">
        <v>140</v>
      </c>
      <c r="E278" s="392" t="s">
        <v>1053</v>
      </c>
      <c r="F278" s="392" t="s">
        <v>134</v>
      </c>
      <c r="G278" s="397">
        <v>20</v>
      </c>
      <c r="H278" s="397">
        <v>20</v>
      </c>
      <c r="I278" s="397">
        <f t="shared" si="134"/>
        <v>100</v>
      </c>
      <c r="J278" s="413"/>
      <c r="K278" s="401"/>
      <c r="L278" s="192"/>
    </row>
    <row r="279" spans="1:12" ht="36.75" hidden="1" customHeight="1" x14ac:dyDescent="0.25">
      <c r="A279" s="31" t="s">
        <v>771</v>
      </c>
      <c r="B279" s="390">
        <v>903</v>
      </c>
      <c r="C279" s="392" t="s">
        <v>118</v>
      </c>
      <c r="D279" s="392" t="s">
        <v>140</v>
      </c>
      <c r="E279" s="392" t="s">
        <v>1054</v>
      </c>
      <c r="F279" s="392"/>
      <c r="G279" s="397">
        <f>G280</f>
        <v>0</v>
      </c>
      <c r="H279" s="397">
        <f t="shared" ref="H279:H280" si="140">H280</f>
        <v>0</v>
      </c>
      <c r="I279" s="397" t="e">
        <f t="shared" si="134"/>
        <v>#DIV/0!</v>
      </c>
      <c r="J279" s="413"/>
      <c r="K279" s="401"/>
      <c r="L279" s="192"/>
    </row>
    <row r="280" spans="1:12" ht="31.5" hidden="1" x14ac:dyDescent="0.25">
      <c r="A280" s="396" t="s">
        <v>131</v>
      </c>
      <c r="B280" s="390">
        <v>903</v>
      </c>
      <c r="C280" s="392" t="s">
        <v>118</v>
      </c>
      <c r="D280" s="392" t="s">
        <v>140</v>
      </c>
      <c r="E280" s="392" t="s">
        <v>1054</v>
      </c>
      <c r="F280" s="392" t="s">
        <v>132</v>
      </c>
      <c r="G280" s="397">
        <f>G281</f>
        <v>0</v>
      </c>
      <c r="H280" s="397">
        <f t="shared" si="140"/>
        <v>0</v>
      </c>
      <c r="I280" s="397" t="e">
        <f t="shared" si="134"/>
        <v>#DIV/0!</v>
      </c>
      <c r="J280" s="413"/>
      <c r="K280" s="401"/>
      <c r="L280" s="192"/>
    </row>
    <row r="281" spans="1:12" ht="31.5" hidden="1" x14ac:dyDescent="0.25">
      <c r="A281" s="396" t="s">
        <v>133</v>
      </c>
      <c r="B281" s="390">
        <v>903</v>
      </c>
      <c r="C281" s="392" t="s">
        <v>118</v>
      </c>
      <c r="D281" s="392" t="s">
        <v>140</v>
      </c>
      <c r="E281" s="392" t="s">
        <v>1054</v>
      </c>
      <c r="F281" s="392" t="s">
        <v>134</v>
      </c>
      <c r="G281" s="397">
        <v>0</v>
      </c>
      <c r="H281" s="397">
        <v>0</v>
      </c>
      <c r="I281" s="397" t="e">
        <f t="shared" si="134"/>
        <v>#DIV/0!</v>
      </c>
      <c r="J281" s="413"/>
      <c r="K281" s="401"/>
      <c r="L281" s="192"/>
    </row>
    <row r="282" spans="1:12" ht="15.75" hidden="1" x14ac:dyDescent="0.25">
      <c r="A282" s="396" t="s">
        <v>993</v>
      </c>
      <c r="B282" s="390">
        <v>903</v>
      </c>
      <c r="C282" s="392" t="s">
        <v>118</v>
      </c>
      <c r="D282" s="392" t="s">
        <v>140</v>
      </c>
      <c r="E282" s="392" t="s">
        <v>1055</v>
      </c>
      <c r="F282" s="392"/>
      <c r="G282" s="397">
        <f>G283</f>
        <v>0</v>
      </c>
      <c r="H282" s="397">
        <f t="shared" ref="H282:H283" si="141">H283</f>
        <v>0</v>
      </c>
      <c r="I282" s="397" t="e">
        <f t="shared" si="134"/>
        <v>#DIV/0!</v>
      </c>
      <c r="J282" s="413"/>
      <c r="K282" s="401"/>
      <c r="L282" s="192"/>
    </row>
    <row r="283" spans="1:12" ht="31.5" hidden="1" x14ac:dyDescent="0.25">
      <c r="A283" s="396" t="s">
        <v>131</v>
      </c>
      <c r="B283" s="390">
        <v>903</v>
      </c>
      <c r="C283" s="392" t="s">
        <v>118</v>
      </c>
      <c r="D283" s="392" t="s">
        <v>140</v>
      </c>
      <c r="E283" s="392" t="s">
        <v>1055</v>
      </c>
      <c r="F283" s="392" t="s">
        <v>132</v>
      </c>
      <c r="G283" s="397">
        <f>G284</f>
        <v>0</v>
      </c>
      <c r="H283" s="397">
        <f t="shared" si="141"/>
        <v>0</v>
      </c>
      <c r="I283" s="397" t="e">
        <f t="shared" si="134"/>
        <v>#DIV/0!</v>
      </c>
      <c r="J283" s="413"/>
      <c r="K283" s="401"/>
      <c r="L283" s="192"/>
    </row>
    <row r="284" spans="1:12" ht="31.5" hidden="1" x14ac:dyDescent="0.25">
      <c r="A284" s="396" t="s">
        <v>133</v>
      </c>
      <c r="B284" s="390">
        <v>903</v>
      </c>
      <c r="C284" s="392" t="s">
        <v>118</v>
      </c>
      <c r="D284" s="392" t="s">
        <v>140</v>
      </c>
      <c r="E284" s="392" t="s">
        <v>1055</v>
      </c>
      <c r="F284" s="392" t="s">
        <v>134</v>
      </c>
      <c r="G284" s="397">
        <v>0</v>
      </c>
      <c r="H284" s="397">
        <v>0</v>
      </c>
      <c r="I284" s="397" t="e">
        <f t="shared" si="134"/>
        <v>#DIV/0!</v>
      </c>
      <c r="J284" s="413"/>
      <c r="K284" s="401"/>
      <c r="L284" s="192"/>
    </row>
    <row r="285" spans="1:12" ht="40.700000000000003" hidden="1" customHeight="1" x14ac:dyDescent="0.25">
      <c r="A285" s="31" t="s">
        <v>772</v>
      </c>
      <c r="B285" s="390">
        <v>903</v>
      </c>
      <c r="C285" s="392" t="s">
        <v>118</v>
      </c>
      <c r="D285" s="392" t="s">
        <v>140</v>
      </c>
      <c r="E285" s="392" t="s">
        <v>1056</v>
      </c>
      <c r="F285" s="392"/>
      <c r="G285" s="397">
        <f>G286</f>
        <v>0</v>
      </c>
      <c r="H285" s="397">
        <f t="shared" ref="H285:H286" si="142">H286</f>
        <v>0</v>
      </c>
      <c r="I285" s="397" t="e">
        <f t="shared" si="134"/>
        <v>#DIV/0!</v>
      </c>
      <c r="J285" s="413"/>
      <c r="K285" s="401"/>
      <c r="L285" s="192"/>
    </row>
    <row r="286" spans="1:12" ht="31.5" hidden="1" x14ac:dyDescent="0.25">
      <c r="A286" s="396" t="s">
        <v>131</v>
      </c>
      <c r="B286" s="390">
        <v>903</v>
      </c>
      <c r="C286" s="392" t="s">
        <v>118</v>
      </c>
      <c r="D286" s="392" t="s">
        <v>140</v>
      </c>
      <c r="E286" s="392" t="s">
        <v>1056</v>
      </c>
      <c r="F286" s="392" t="s">
        <v>132</v>
      </c>
      <c r="G286" s="397">
        <f>G287</f>
        <v>0</v>
      </c>
      <c r="H286" s="397">
        <f t="shared" si="142"/>
        <v>0</v>
      </c>
      <c r="I286" s="397" t="e">
        <f t="shared" si="134"/>
        <v>#DIV/0!</v>
      </c>
      <c r="J286" s="413"/>
      <c r="K286" s="401"/>
      <c r="L286" s="192"/>
    </row>
    <row r="287" spans="1:12" ht="31.5" hidden="1" x14ac:dyDescent="0.25">
      <c r="A287" s="396" t="s">
        <v>133</v>
      </c>
      <c r="B287" s="390">
        <v>903</v>
      </c>
      <c r="C287" s="392" t="s">
        <v>118</v>
      </c>
      <c r="D287" s="392" t="s">
        <v>140</v>
      </c>
      <c r="E287" s="392" t="s">
        <v>1056</v>
      </c>
      <c r="F287" s="392" t="s">
        <v>134</v>
      </c>
      <c r="G287" s="397">
        <v>0</v>
      </c>
      <c r="H287" s="397">
        <v>0</v>
      </c>
      <c r="I287" s="397" t="e">
        <f t="shared" si="134"/>
        <v>#DIV/0!</v>
      </c>
      <c r="J287" s="413"/>
      <c r="K287" s="401"/>
      <c r="L287" s="192"/>
    </row>
    <row r="288" spans="1:12" ht="47.25" x14ac:dyDescent="0.25">
      <c r="A288" s="400" t="s">
        <v>1349</v>
      </c>
      <c r="B288" s="391">
        <v>903</v>
      </c>
      <c r="C288" s="395" t="s">
        <v>118</v>
      </c>
      <c r="D288" s="395" t="s">
        <v>140</v>
      </c>
      <c r="E288" s="395" t="s">
        <v>705</v>
      </c>
      <c r="F288" s="395"/>
      <c r="G288" s="393">
        <f>G290</f>
        <v>5.2</v>
      </c>
      <c r="H288" s="393">
        <f t="shared" ref="H288" si="143">H290</f>
        <v>5.1769999999999996</v>
      </c>
      <c r="I288" s="393">
        <f t="shared" si="134"/>
        <v>99.557692307692292</v>
      </c>
      <c r="J288" s="413"/>
      <c r="K288" s="401"/>
      <c r="L288" s="192"/>
    </row>
    <row r="289" spans="1:12" s="192" customFormat="1" ht="44.45" customHeight="1" x14ac:dyDescent="0.25">
      <c r="A289" s="195" t="s">
        <v>845</v>
      </c>
      <c r="B289" s="391">
        <v>903</v>
      </c>
      <c r="C289" s="395" t="s">
        <v>118</v>
      </c>
      <c r="D289" s="395" t="s">
        <v>140</v>
      </c>
      <c r="E289" s="395" t="s">
        <v>851</v>
      </c>
      <c r="F289" s="395"/>
      <c r="G289" s="393">
        <f>G290</f>
        <v>5.2</v>
      </c>
      <c r="H289" s="393">
        <f t="shared" ref="H289:H291" si="144">H290</f>
        <v>5.1769999999999996</v>
      </c>
      <c r="I289" s="393">
        <f t="shared" si="134"/>
        <v>99.557692307692292</v>
      </c>
      <c r="J289" s="413"/>
      <c r="K289" s="401"/>
    </row>
    <row r="290" spans="1:12" ht="31.5" x14ac:dyDescent="0.25">
      <c r="A290" s="98" t="s">
        <v>776</v>
      </c>
      <c r="B290" s="390">
        <v>903</v>
      </c>
      <c r="C290" s="392" t="s">
        <v>118</v>
      </c>
      <c r="D290" s="392" t="s">
        <v>140</v>
      </c>
      <c r="E290" s="392" t="s">
        <v>846</v>
      </c>
      <c r="F290" s="392"/>
      <c r="G290" s="397">
        <f>G291</f>
        <v>5.2</v>
      </c>
      <c r="H290" s="397">
        <f t="shared" si="144"/>
        <v>5.1769999999999996</v>
      </c>
      <c r="I290" s="397">
        <f t="shared" si="134"/>
        <v>99.557692307692292</v>
      </c>
      <c r="J290" s="413"/>
      <c r="K290" s="401"/>
      <c r="L290" s="192"/>
    </row>
    <row r="291" spans="1:12" ht="31.5" x14ac:dyDescent="0.25">
      <c r="A291" s="396" t="s">
        <v>131</v>
      </c>
      <c r="B291" s="390">
        <v>903</v>
      </c>
      <c r="C291" s="392" t="s">
        <v>118</v>
      </c>
      <c r="D291" s="392" t="s">
        <v>140</v>
      </c>
      <c r="E291" s="392" t="s">
        <v>846</v>
      </c>
      <c r="F291" s="392" t="s">
        <v>132</v>
      </c>
      <c r="G291" s="397">
        <f>G292</f>
        <v>5.2</v>
      </c>
      <c r="H291" s="397">
        <f t="shared" si="144"/>
        <v>5.1769999999999996</v>
      </c>
      <c r="I291" s="397">
        <f t="shared" si="134"/>
        <v>99.557692307692292</v>
      </c>
      <c r="J291" s="413"/>
      <c r="K291" s="401"/>
      <c r="L291" s="192"/>
    </row>
    <row r="292" spans="1:12" ht="31.5" x14ac:dyDescent="0.25">
      <c r="A292" s="396" t="s">
        <v>133</v>
      </c>
      <c r="B292" s="390">
        <v>903</v>
      </c>
      <c r="C292" s="392" t="s">
        <v>118</v>
      </c>
      <c r="D292" s="392" t="s">
        <v>140</v>
      </c>
      <c r="E292" s="392" t="s">
        <v>846</v>
      </c>
      <c r="F292" s="392" t="s">
        <v>134</v>
      </c>
      <c r="G292" s="397">
        <f>5-5+5.2</f>
        <v>5.2</v>
      </c>
      <c r="H292" s="397">
        <v>5.1769999999999996</v>
      </c>
      <c r="I292" s="397">
        <f t="shared" si="134"/>
        <v>99.557692307692292</v>
      </c>
      <c r="J292" s="413"/>
      <c r="K292" s="401"/>
      <c r="L292" s="192"/>
    </row>
    <row r="293" spans="1:12" s="192" customFormat="1" ht="63" x14ac:dyDescent="0.25">
      <c r="A293" s="400" t="s">
        <v>1564</v>
      </c>
      <c r="B293" s="391">
        <v>903</v>
      </c>
      <c r="C293" s="8" t="s">
        <v>118</v>
      </c>
      <c r="D293" s="8" t="s">
        <v>140</v>
      </c>
      <c r="E293" s="187" t="s">
        <v>817</v>
      </c>
      <c r="F293" s="8"/>
      <c r="G293" s="393">
        <f>G295</f>
        <v>31</v>
      </c>
      <c r="H293" s="393">
        <f t="shared" ref="H293" si="145">H295</f>
        <v>31</v>
      </c>
      <c r="I293" s="393">
        <f t="shared" si="134"/>
        <v>100</v>
      </c>
      <c r="J293" s="413"/>
      <c r="K293" s="401"/>
    </row>
    <row r="294" spans="1:12" s="192" customFormat="1" ht="31.5" x14ac:dyDescent="0.25">
      <c r="A294" s="58" t="s">
        <v>855</v>
      </c>
      <c r="B294" s="391">
        <v>903</v>
      </c>
      <c r="C294" s="8" t="s">
        <v>118</v>
      </c>
      <c r="D294" s="8" t="s">
        <v>140</v>
      </c>
      <c r="E294" s="187" t="s">
        <v>863</v>
      </c>
      <c r="F294" s="8"/>
      <c r="G294" s="393">
        <f>G295</f>
        <v>31</v>
      </c>
      <c r="H294" s="393">
        <f t="shared" ref="H294:H296" si="146">H295</f>
        <v>31</v>
      </c>
      <c r="I294" s="393">
        <f t="shared" si="134"/>
        <v>100</v>
      </c>
      <c r="J294" s="413"/>
      <c r="K294" s="401"/>
    </row>
    <row r="295" spans="1:12" s="192" customFormat="1" ht="15.75" x14ac:dyDescent="0.25">
      <c r="A295" s="45" t="s">
        <v>821</v>
      </c>
      <c r="B295" s="390">
        <v>903</v>
      </c>
      <c r="C295" s="9" t="s">
        <v>118</v>
      </c>
      <c r="D295" s="9" t="s">
        <v>140</v>
      </c>
      <c r="E295" s="5" t="s">
        <v>856</v>
      </c>
      <c r="F295" s="9"/>
      <c r="G295" s="397">
        <f>G296</f>
        <v>31</v>
      </c>
      <c r="H295" s="397">
        <f t="shared" si="146"/>
        <v>31</v>
      </c>
      <c r="I295" s="397">
        <f t="shared" si="134"/>
        <v>100</v>
      </c>
      <c r="J295" s="413"/>
      <c r="K295" s="401"/>
    </row>
    <row r="296" spans="1:12" s="192" customFormat="1" ht="31.5" x14ac:dyDescent="0.25">
      <c r="A296" s="396" t="s">
        <v>131</v>
      </c>
      <c r="B296" s="390">
        <v>903</v>
      </c>
      <c r="C296" s="9" t="s">
        <v>118</v>
      </c>
      <c r="D296" s="9" t="s">
        <v>140</v>
      </c>
      <c r="E296" s="5" t="s">
        <v>856</v>
      </c>
      <c r="F296" s="9" t="s">
        <v>132</v>
      </c>
      <c r="G296" s="397">
        <f>G297</f>
        <v>31</v>
      </c>
      <c r="H296" s="397">
        <f t="shared" si="146"/>
        <v>31</v>
      </c>
      <c r="I296" s="397">
        <f t="shared" si="134"/>
        <v>100</v>
      </c>
      <c r="J296" s="413"/>
      <c r="K296" s="401"/>
    </row>
    <row r="297" spans="1:12" s="192" customFormat="1" ht="31.5" x14ac:dyDescent="0.25">
      <c r="A297" s="396" t="s">
        <v>133</v>
      </c>
      <c r="B297" s="390">
        <v>903</v>
      </c>
      <c r="C297" s="9" t="s">
        <v>118</v>
      </c>
      <c r="D297" s="9" t="s">
        <v>140</v>
      </c>
      <c r="E297" s="5" t="s">
        <v>856</v>
      </c>
      <c r="F297" s="9" t="s">
        <v>134</v>
      </c>
      <c r="G297" s="397">
        <v>31</v>
      </c>
      <c r="H297" s="397">
        <v>31</v>
      </c>
      <c r="I297" s="397">
        <f t="shared" si="134"/>
        <v>100</v>
      </c>
      <c r="J297" s="413"/>
      <c r="K297" s="401"/>
    </row>
    <row r="298" spans="1:12" ht="21.2" hidden="1" customHeight="1" x14ac:dyDescent="0.25">
      <c r="A298" s="201" t="s">
        <v>232</v>
      </c>
      <c r="B298" s="391">
        <v>903</v>
      </c>
      <c r="C298" s="395" t="s">
        <v>150</v>
      </c>
      <c r="D298" s="392"/>
      <c r="E298" s="392"/>
      <c r="F298" s="398"/>
      <c r="G298" s="393">
        <f>G299</f>
        <v>0</v>
      </c>
      <c r="H298" s="393">
        <f t="shared" ref="H298:H300" si="147">H299</f>
        <v>0</v>
      </c>
      <c r="I298" s="397" t="e">
        <f t="shared" si="134"/>
        <v>#DIV/0!</v>
      </c>
      <c r="J298" s="413"/>
      <c r="K298" s="401"/>
      <c r="L298" s="192"/>
    </row>
    <row r="299" spans="1:12" ht="21.2" hidden="1" customHeight="1" x14ac:dyDescent="0.25">
      <c r="A299" s="394" t="s">
        <v>237</v>
      </c>
      <c r="B299" s="391">
        <v>903</v>
      </c>
      <c r="C299" s="395" t="s">
        <v>150</v>
      </c>
      <c r="D299" s="395" t="s">
        <v>238</v>
      </c>
      <c r="E299" s="392"/>
      <c r="F299" s="398"/>
      <c r="G299" s="393">
        <f>G300</f>
        <v>0</v>
      </c>
      <c r="H299" s="393">
        <f t="shared" si="147"/>
        <v>0</v>
      </c>
      <c r="I299" s="397" t="e">
        <f t="shared" si="134"/>
        <v>#DIV/0!</v>
      </c>
      <c r="J299" s="413"/>
      <c r="K299" s="401"/>
      <c r="L299" s="192"/>
    </row>
    <row r="300" spans="1:12" ht="54" hidden="1" customHeight="1" x14ac:dyDescent="0.25">
      <c r="A300" s="394" t="s">
        <v>1346</v>
      </c>
      <c r="B300" s="391">
        <v>903</v>
      </c>
      <c r="C300" s="395" t="s">
        <v>150</v>
      </c>
      <c r="D300" s="395" t="s">
        <v>238</v>
      </c>
      <c r="E300" s="395" t="s">
        <v>344</v>
      </c>
      <c r="F300" s="403"/>
      <c r="G300" s="393">
        <f>G301</f>
        <v>0</v>
      </c>
      <c r="H300" s="393">
        <f t="shared" si="147"/>
        <v>0</v>
      </c>
      <c r="I300" s="397" t="e">
        <f t="shared" si="134"/>
        <v>#DIV/0!</v>
      </c>
      <c r="J300" s="413"/>
      <c r="K300" s="401"/>
      <c r="L300" s="192"/>
    </row>
    <row r="301" spans="1:12" ht="53.45" hidden="1" customHeight="1" x14ac:dyDescent="0.25">
      <c r="A301" s="394" t="s">
        <v>367</v>
      </c>
      <c r="B301" s="391">
        <v>903</v>
      </c>
      <c r="C301" s="395" t="s">
        <v>150</v>
      </c>
      <c r="D301" s="395" t="s">
        <v>238</v>
      </c>
      <c r="E301" s="395" t="s">
        <v>356</v>
      </c>
      <c r="F301" s="395"/>
      <c r="G301" s="393">
        <f>G302+G306+G310+G314</f>
        <v>0</v>
      </c>
      <c r="H301" s="393">
        <f t="shared" ref="H301" si="148">H302+H306+H310+H314</f>
        <v>0</v>
      </c>
      <c r="I301" s="397" t="e">
        <f t="shared" si="134"/>
        <v>#DIV/0!</v>
      </c>
      <c r="J301" s="413"/>
      <c r="K301" s="401"/>
      <c r="L301" s="192"/>
    </row>
    <row r="302" spans="1:12" s="192" customFormat="1" ht="33" hidden="1" customHeight="1" x14ac:dyDescent="0.25">
      <c r="A302" s="199" t="s">
        <v>1043</v>
      </c>
      <c r="B302" s="391">
        <v>903</v>
      </c>
      <c r="C302" s="395" t="s">
        <v>150</v>
      </c>
      <c r="D302" s="395" t="s">
        <v>238</v>
      </c>
      <c r="E302" s="395" t="s">
        <v>906</v>
      </c>
      <c r="F302" s="395"/>
      <c r="G302" s="393">
        <f>G303</f>
        <v>0</v>
      </c>
      <c r="H302" s="393">
        <f t="shared" ref="H302:H304" si="149">H303</f>
        <v>0</v>
      </c>
      <c r="I302" s="397" t="e">
        <f t="shared" si="134"/>
        <v>#DIV/0!</v>
      </c>
      <c r="J302" s="413"/>
      <c r="K302" s="401"/>
    </row>
    <row r="303" spans="1:12" ht="47.25" hidden="1" customHeight="1" x14ac:dyDescent="0.25">
      <c r="A303" s="396" t="s">
        <v>1094</v>
      </c>
      <c r="B303" s="390">
        <v>903</v>
      </c>
      <c r="C303" s="392" t="s">
        <v>150</v>
      </c>
      <c r="D303" s="392" t="s">
        <v>238</v>
      </c>
      <c r="E303" s="392" t="s">
        <v>1314</v>
      </c>
      <c r="F303" s="392"/>
      <c r="G303" s="397">
        <f>G304</f>
        <v>0</v>
      </c>
      <c r="H303" s="397">
        <f t="shared" si="149"/>
        <v>0</v>
      </c>
      <c r="I303" s="397" t="e">
        <f t="shared" si="134"/>
        <v>#DIV/0!</v>
      </c>
      <c r="J303" s="413"/>
      <c r="K303" s="401"/>
      <c r="L303" s="192"/>
    </row>
    <row r="304" spans="1:12" ht="21.2" hidden="1" customHeight="1" x14ac:dyDescent="0.25">
      <c r="A304" s="396" t="s">
        <v>248</v>
      </c>
      <c r="B304" s="390">
        <v>903</v>
      </c>
      <c r="C304" s="392" t="s">
        <v>150</v>
      </c>
      <c r="D304" s="392" t="s">
        <v>238</v>
      </c>
      <c r="E304" s="392" t="s">
        <v>1314</v>
      </c>
      <c r="F304" s="392" t="s">
        <v>249</v>
      </c>
      <c r="G304" s="397">
        <f>G305</f>
        <v>0</v>
      </c>
      <c r="H304" s="397">
        <f t="shared" si="149"/>
        <v>0</v>
      </c>
      <c r="I304" s="397" t="e">
        <f t="shared" si="134"/>
        <v>#DIV/0!</v>
      </c>
      <c r="J304" s="413"/>
      <c r="K304" s="401"/>
      <c r="L304" s="192"/>
    </row>
    <row r="305" spans="1:12" ht="29.25" hidden="1" customHeight="1" x14ac:dyDescent="0.25">
      <c r="A305" s="396" t="s">
        <v>250</v>
      </c>
      <c r="B305" s="390">
        <v>903</v>
      </c>
      <c r="C305" s="392" t="s">
        <v>150</v>
      </c>
      <c r="D305" s="392" t="s">
        <v>238</v>
      </c>
      <c r="E305" s="392" t="s">
        <v>1314</v>
      </c>
      <c r="F305" s="392" t="s">
        <v>251</v>
      </c>
      <c r="G305" s="397">
        <v>0</v>
      </c>
      <c r="H305" s="397">
        <v>0</v>
      </c>
      <c r="I305" s="397" t="e">
        <f t="shared" si="134"/>
        <v>#DIV/0!</v>
      </c>
      <c r="J305" s="413"/>
      <c r="K305" s="401"/>
      <c r="L305" s="192"/>
    </row>
    <row r="306" spans="1:12" s="192" customFormat="1" ht="33" hidden="1" customHeight="1" x14ac:dyDescent="0.25">
      <c r="A306" s="394" t="s">
        <v>1041</v>
      </c>
      <c r="B306" s="391">
        <v>903</v>
      </c>
      <c r="C306" s="395" t="s">
        <v>150</v>
      </c>
      <c r="D306" s="395" t="s">
        <v>238</v>
      </c>
      <c r="E306" s="395" t="s">
        <v>1197</v>
      </c>
      <c r="F306" s="395"/>
      <c r="G306" s="393">
        <f>G307</f>
        <v>0</v>
      </c>
      <c r="H306" s="393">
        <f t="shared" ref="H306:H308" si="150">H307</f>
        <v>0</v>
      </c>
      <c r="I306" s="397" t="e">
        <f t="shared" si="134"/>
        <v>#DIV/0!</v>
      </c>
      <c r="J306" s="413"/>
      <c r="K306" s="401"/>
    </row>
    <row r="307" spans="1:12" s="192" customFormat="1" ht="94.5" hidden="1" x14ac:dyDescent="0.25">
      <c r="A307" s="396" t="s">
        <v>373</v>
      </c>
      <c r="B307" s="390">
        <v>903</v>
      </c>
      <c r="C307" s="392" t="s">
        <v>150</v>
      </c>
      <c r="D307" s="392" t="s">
        <v>238</v>
      </c>
      <c r="E307" s="392" t="s">
        <v>1198</v>
      </c>
      <c r="F307" s="392"/>
      <c r="G307" s="397">
        <f>G308</f>
        <v>0</v>
      </c>
      <c r="H307" s="397">
        <f t="shared" si="150"/>
        <v>0</v>
      </c>
      <c r="I307" s="397" t="e">
        <f t="shared" si="134"/>
        <v>#DIV/0!</v>
      </c>
      <c r="J307" s="413"/>
      <c r="K307" s="401"/>
    </row>
    <row r="308" spans="1:12" s="192" customFormat="1" ht="39.200000000000003" hidden="1" customHeight="1" x14ac:dyDescent="0.25">
      <c r="A308" s="396" t="s">
        <v>272</v>
      </c>
      <c r="B308" s="390">
        <v>903</v>
      </c>
      <c r="C308" s="392" t="s">
        <v>150</v>
      </c>
      <c r="D308" s="392" t="s">
        <v>238</v>
      </c>
      <c r="E308" s="392" t="s">
        <v>1198</v>
      </c>
      <c r="F308" s="392" t="s">
        <v>273</v>
      </c>
      <c r="G308" s="397">
        <f>G309</f>
        <v>0</v>
      </c>
      <c r="H308" s="397">
        <f t="shared" si="150"/>
        <v>0</v>
      </c>
      <c r="I308" s="397" t="e">
        <f t="shared" si="134"/>
        <v>#DIV/0!</v>
      </c>
      <c r="J308" s="413"/>
      <c r="K308" s="401"/>
    </row>
    <row r="309" spans="1:12" s="192" customFormat="1" ht="73.5" hidden="1" customHeight="1" x14ac:dyDescent="0.25">
      <c r="A309" s="396" t="s">
        <v>1090</v>
      </c>
      <c r="B309" s="390">
        <v>903</v>
      </c>
      <c r="C309" s="392" t="s">
        <v>150</v>
      </c>
      <c r="D309" s="392" t="s">
        <v>238</v>
      </c>
      <c r="E309" s="392" t="s">
        <v>1198</v>
      </c>
      <c r="F309" s="392" t="s">
        <v>372</v>
      </c>
      <c r="G309" s="337">
        <f>8.6+200-200-8.6</f>
        <v>0</v>
      </c>
      <c r="H309" s="337">
        <f t="shared" ref="H309" si="151">8.6+200-200-8.6</f>
        <v>0</v>
      </c>
      <c r="I309" s="397" t="e">
        <f t="shared" si="134"/>
        <v>#DIV/0!</v>
      </c>
      <c r="J309" s="413"/>
      <c r="K309" s="401"/>
    </row>
    <row r="310" spans="1:12" s="192" customFormat="1" ht="21.2" hidden="1" customHeight="1" x14ac:dyDescent="0.25">
      <c r="A310" s="394" t="s">
        <v>994</v>
      </c>
      <c r="B310" s="391">
        <v>903</v>
      </c>
      <c r="C310" s="395" t="s">
        <v>150</v>
      </c>
      <c r="D310" s="395" t="s">
        <v>238</v>
      </c>
      <c r="E310" s="395" t="s">
        <v>1307</v>
      </c>
      <c r="F310" s="395"/>
      <c r="G310" s="393">
        <f>G311</f>
        <v>0</v>
      </c>
      <c r="H310" s="393">
        <f t="shared" ref="H310:H312" si="152">H311</f>
        <v>0</v>
      </c>
      <c r="I310" s="397" t="e">
        <f t="shared" si="134"/>
        <v>#DIV/0!</v>
      </c>
      <c r="J310" s="413"/>
      <c r="K310" s="401"/>
    </row>
    <row r="311" spans="1:12" s="192" customFormat="1" ht="41.25" hidden="1" customHeight="1" x14ac:dyDescent="0.25">
      <c r="A311" s="396" t="s">
        <v>377</v>
      </c>
      <c r="B311" s="390">
        <v>903</v>
      </c>
      <c r="C311" s="392" t="s">
        <v>150</v>
      </c>
      <c r="D311" s="392" t="s">
        <v>238</v>
      </c>
      <c r="E311" s="392" t="s">
        <v>1308</v>
      </c>
      <c r="F311" s="392"/>
      <c r="G311" s="397">
        <f>G312</f>
        <v>0</v>
      </c>
      <c r="H311" s="397">
        <f t="shared" si="152"/>
        <v>0</v>
      </c>
      <c r="I311" s="397" t="e">
        <f t="shared" si="134"/>
        <v>#DIV/0!</v>
      </c>
      <c r="J311" s="413"/>
      <c r="K311" s="401"/>
    </row>
    <row r="312" spans="1:12" s="192" customFormat="1" ht="29.25" hidden="1" customHeight="1" x14ac:dyDescent="0.25">
      <c r="A312" s="396" t="s">
        <v>131</v>
      </c>
      <c r="B312" s="390">
        <v>903</v>
      </c>
      <c r="C312" s="392" t="s">
        <v>150</v>
      </c>
      <c r="D312" s="392" t="s">
        <v>238</v>
      </c>
      <c r="E312" s="392" t="s">
        <v>1308</v>
      </c>
      <c r="F312" s="392" t="s">
        <v>132</v>
      </c>
      <c r="G312" s="397">
        <f>G313</f>
        <v>0</v>
      </c>
      <c r="H312" s="397">
        <f t="shared" si="152"/>
        <v>0</v>
      </c>
      <c r="I312" s="397" t="e">
        <f t="shared" si="134"/>
        <v>#DIV/0!</v>
      </c>
      <c r="J312" s="413"/>
      <c r="K312" s="401"/>
    </row>
    <row r="313" spans="1:12" s="192" customFormat="1" ht="29.25" hidden="1" customHeight="1" x14ac:dyDescent="0.25">
      <c r="A313" s="396" t="s">
        <v>133</v>
      </c>
      <c r="B313" s="390">
        <v>903</v>
      </c>
      <c r="C313" s="392" t="s">
        <v>150</v>
      </c>
      <c r="D313" s="392" t="s">
        <v>238</v>
      </c>
      <c r="E313" s="392" t="s">
        <v>1308</v>
      </c>
      <c r="F313" s="392" t="s">
        <v>134</v>
      </c>
      <c r="G313" s="397">
        <v>0</v>
      </c>
      <c r="H313" s="397">
        <v>0</v>
      </c>
      <c r="I313" s="397" t="e">
        <f t="shared" si="134"/>
        <v>#DIV/0!</v>
      </c>
      <c r="J313" s="413"/>
      <c r="K313" s="401"/>
    </row>
    <row r="314" spans="1:12" s="192" customFormat="1" ht="33.75" hidden="1" customHeight="1" x14ac:dyDescent="0.25">
      <c r="A314" s="402" t="s">
        <v>1103</v>
      </c>
      <c r="B314" s="391">
        <v>903</v>
      </c>
      <c r="C314" s="395" t="s">
        <v>150</v>
      </c>
      <c r="D314" s="395" t="s">
        <v>238</v>
      </c>
      <c r="E314" s="395" t="s">
        <v>1199</v>
      </c>
      <c r="F314" s="395"/>
      <c r="G314" s="393">
        <f>G315</f>
        <v>0</v>
      </c>
      <c r="H314" s="393">
        <f t="shared" ref="H314:H316" si="153">H315</f>
        <v>0</v>
      </c>
      <c r="I314" s="397" t="e">
        <f t="shared" si="134"/>
        <v>#DIV/0!</v>
      </c>
      <c r="J314" s="413"/>
      <c r="K314" s="401"/>
    </row>
    <row r="315" spans="1:12" s="192" customFormat="1" ht="29.25" hidden="1" customHeight="1" x14ac:dyDescent="0.25">
      <c r="A315" s="215" t="s">
        <v>1146</v>
      </c>
      <c r="B315" s="390">
        <v>903</v>
      </c>
      <c r="C315" s="392" t="s">
        <v>150</v>
      </c>
      <c r="D315" s="392" t="s">
        <v>238</v>
      </c>
      <c r="E315" s="392" t="s">
        <v>1200</v>
      </c>
      <c r="F315" s="392"/>
      <c r="G315" s="397">
        <f>G316</f>
        <v>0</v>
      </c>
      <c r="H315" s="397">
        <f t="shared" si="153"/>
        <v>0</v>
      </c>
      <c r="I315" s="397" t="e">
        <f t="shared" si="134"/>
        <v>#DIV/0!</v>
      </c>
      <c r="J315" s="413"/>
      <c r="K315" s="401"/>
    </row>
    <row r="316" spans="1:12" s="192" customFormat="1" ht="29.25" hidden="1" customHeight="1" x14ac:dyDescent="0.25">
      <c r="A316" s="396" t="s">
        <v>131</v>
      </c>
      <c r="B316" s="390">
        <v>903</v>
      </c>
      <c r="C316" s="392" t="s">
        <v>150</v>
      </c>
      <c r="D316" s="392" t="s">
        <v>238</v>
      </c>
      <c r="E316" s="392" t="s">
        <v>1200</v>
      </c>
      <c r="F316" s="392" t="s">
        <v>132</v>
      </c>
      <c r="G316" s="397">
        <f>G317</f>
        <v>0</v>
      </c>
      <c r="H316" s="397">
        <f t="shared" si="153"/>
        <v>0</v>
      </c>
      <c r="I316" s="397" t="e">
        <f t="shared" si="134"/>
        <v>#DIV/0!</v>
      </c>
      <c r="J316" s="413"/>
      <c r="K316" s="401"/>
    </row>
    <row r="317" spans="1:12" s="192" customFormat="1" ht="29.25" hidden="1" customHeight="1" x14ac:dyDescent="0.25">
      <c r="A317" s="396" t="s">
        <v>133</v>
      </c>
      <c r="B317" s="390">
        <v>903</v>
      </c>
      <c r="C317" s="392" t="s">
        <v>150</v>
      </c>
      <c r="D317" s="392" t="s">
        <v>238</v>
      </c>
      <c r="E317" s="392" t="s">
        <v>1200</v>
      </c>
      <c r="F317" s="392" t="s">
        <v>134</v>
      </c>
      <c r="G317" s="397">
        <v>0</v>
      </c>
      <c r="H317" s="397">
        <v>0</v>
      </c>
      <c r="I317" s="397" t="e">
        <f t="shared" si="134"/>
        <v>#DIV/0!</v>
      </c>
      <c r="J317" s="413"/>
      <c r="K317" s="401"/>
    </row>
    <row r="318" spans="1:12" ht="15.75" x14ac:dyDescent="0.25">
      <c r="A318" s="394" t="s">
        <v>263</v>
      </c>
      <c r="B318" s="482">
        <v>903</v>
      </c>
      <c r="C318" s="483" t="s">
        <v>264</v>
      </c>
      <c r="D318" s="479"/>
      <c r="E318" s="479"/>
      <c r="F318" s="392"/>
      <c r="G318" s="393">
        <f>G319+G368+G391</f>
        <v>19961.070000000003</v>
      </c>
      <c r="H318" s="393">
        <f t="shared" ref="H318" si="154">H319+H368+H391</f>
        <v>19000.576000000001</v>
      </c>
      <c r="I318" s="393">
        <f t="shared" si="134"/>
        <v>95.188163760760318</v>
      </c>
      <c r="J318" s="413"/>
      <c r="K318" s="401"/>
      <c r="L318" s="192"/>
    </row>
    <row r="319" spans="1:12" ht="15.75" x14ac:dyDescent="0.25">
      <c r="A319" s="394" t="s">
        <v>265</v>
      </c>
      <c r="B319" s="391">
        <v>903</v>
      </c>
      <c r="C319" s="395" t="s">
        <v>264</v>
      </c>
      <c r="D319" s="395" t="s">
        <v>215</v>
      </c>
      <c r="E319" s="395"/>
      <c r="F319" s="395"/>
      <c r="G319" s="393">
        <f>G320+G363+G358</f>
        <v>18593.520000000004</v>
      </c>
      <c r="H319" s="393">
        <f t="shared" ref="H319" si="155">H320+H363+H358</f>
        <v>17633.264999999999</v>
      </c>
      <c r="I319" s="393">
        <f t="shared" si="134"/>
        <v>94.835539478269823</v>
      </c>
      <c r="J319" s="413"/>
      <c r="K319" s="401"/>
      <c r="L319" s="192"/>
    </row>
    <row r="320" spans="1:12" ht="31.5" x14ac:dyDescent="0.25">
      <c r="A320" s="394" t="s">
        <v>1350</v>
      </c>
      <c r="B320" s="391">
        <v>903</v>
      </c>
      <c r="C320" s="395" t="s">
        <v>264</v>
      </c>
      <c r="D320" s="395" t="s">
        <v>215</v>
      </c>
      <c r="E320" s="395" t="s">
        <v>267</v>
      </c>
      <c r="F320" s="395"/>
      <c r="G320" s="393">
        <f>G321+G335+G344+G348</f>
        <v>18089.620000000003</v>
      </c>
      <c r="H320" s="393">
        <f t="shared" ref="H320" si="156">H321+H335+H344+H348</f>
        <v>17129.492999999999</v>
      </c>
      <c r="I320" s="393">
        <f t="shared" si="134"/>
        <v>94.692387125876593</v>
      </c>
      <c r="J320" s="413"/>
      <c r="K320" s="401"/>
      <c r="L320" s="192"/>
    </row>
    <row r="321" spans="1:12" s="192" customFormat="1" ht="31.5" x14ac:dyDescent="0.25">
      <c r="A321" s="394" t="s">
        <v>1297</v>
      </c>
      <c r="B321" s="391">
        <v>903</v>
      </c>
      <c r="C321" s="395" t="s">
        <v>264</v>
      </c>
      <c r="D321" s="395" t="s">
        <v>215</v>
      </c>
      <c r="E321" s="395" t="s">
        <v>1201</v>
      </c>
      <c r="F321" s="395"/>
      <c r="G321" s="44">
        <f>G322+G332+G329</f>
        <v>16445.52</v>
      </c>
      <c r="H321" s="44">
        <f t="shared" ref="H321" si="157">H322+H332+H329</f>
        <v>15891.780999999999</v>
      </c>
      <c r="I321" s="393">
        <f t="shared" si="134"/>
        <v>96.632888470537864</v>
      </c>
      <c r="J321" s="413"/>
      <c r="K321" s="401"/>
    </row>
    <row r="322" spans="1:12" s="192" customFormat="1" ht="15.75" x14ac:dyDescent="0.25">
      <c r="A322" s="396" t="s">
        <v>800</v>
      </c>
      <c r="B322" s="390">
        <v>903</v>
      </c>
      <c r="C322" s="392" t="s">
        <v>264</v>
      </c>
      <c r="D322" s="392" t="s">
        <v>215</v>
      </c>
      <c r="E322" s="392" t="s">
        <v>1202</v>
      </c>
      <c r="F322" s="392"/>
      <c r="G322" s="27">
        <f>G323+G325+G327</f>
        <v>8029.82</v>
      </c>
      <c r="H322" s="27">
        <f t="shared" ref="H322" si="158">H323+H325+H327</f>
        <v>7943.8429999999998</v>
      </c>
      <c r="I322" s="397">
        <f t="shared" si="134"/>
        <v>98.929278613966446</v>
      </c>
      <c r="J322" s="413"/>
      <c r="K322" s="401"/>
    </row>
    <row r="323" spans="1:12" s="192" customFormat="1" ht="63" x14ac:dyDescent="0.25">
      <c r="A323" s="396" t="s">
        <v>127</v>
      </c>
      <c r="B323" s="390">
        <v>903</v>
      </c>
      <c r="C323" s="392" t="s">
        <v>264</v>
      </c>
      <c r="D323" s="392" t="s">
        <v>215</v>
      </c>
      <c r="E323" s="392" t="s">
        <v>1202</v>
      </c>
      <c r="F323" s="392" t="s">
        <v>128</v>
      </c>
      <c r="G323" s="27">
        <f>G324</f>
        <v>6013.12</v>
      </c>
      <c r="H323" s="27">
        <f t="shared" ref="H323" si="159">H324</f>
        <v>6013.0259999999998</v>
      </c>
      <c r="I323" s="397">
        <f t="shared" si="134"/>
        <v>99.998436751636419</v>
      </c>
      <c r="J323" s="413"/>
      <c r="K323" s="401"/>
    </row>
    <row r="324" spans="1:12" s="192" customFormat="1" ht="15.75" x14ac:dyDescent="0.25">
      <c r="A324" s="46" t="s">
        <v>342</v>
      </c>
      <c r="B324" s="390">
        <v>903</v>
      </c>
      <c r="C324" s="392" t="s">
        <v>264</v>
      </c>
      <c r="D324" s="392" t="s">
        <v>215</v>
      </c>
      <c r="E324" s="392" t="s">
        <v>1202</v>
      </c>
      <c r="F324" s="392" t="s">
        <v>209</v>
      </c>
      <c r="G324" s="27">
        <f>7440.82-126+5.9-120.3+5.4+11.1-300-500-100+2.4+21.3-625.2-62.4-62.9+423</f>
        <v>6013.12</v>
      </c>
      <c r="H324" s="27">
        <v>6013.0259999999998</v>
      </c>
      <c r="I324" s="397">
        <f t="shared" si="134"/>
        <v>99.998436751636419</v>
      </c>
      <c r="J324" s="413"/>
      <c r="K324" s="401"/>
    </row>
    <row r="325" spans="1:12" s="192" customFormat="1" ht="31.5" x14ac:dyDescent="0.25">
      <c r="A325" s="396" t="s">
        <v>131</v>
      </c>
      <c r="B325" s="390">
        <v>903</v>
      </c>
      <c r="C325" s="392" t="s">
        <v>264</v>
      </c>
      <c r="D325" s="392" t="s">
        <v>215</v>
      </c>
      <c r="E325" s="392" t="s">
        <v>1202</v>
      </c>
      <c r="F325" s="392" t="s">
        <v>132</v>
      </c>
      <c r="G325" s="27">
        <f>G326</f>
        <v>1962.3</v>
      </c>
      <c r="H325" s="27">
        <f t="shared" ref="H325" si="160">H326</f>
        <v>1876.451</v>
      </c>
      <c r="I325" s="397">
        <f t="shared" si="134"/>
        <v>95.625082810987109</v>
      </c>
      <c r="J325" s="413"/>
      <c r="K325" s="401"/>
    </row>
    <row r="326" spans="1:12" s="192" customFormat="1" ht="31.5" x14ac:dyDescent="0.25">
      <c r="A326" s="396" t="s">
        <v>133</v>
      </c>
      <c r="B326" s="390">
        <v>903</v>
      </c>
      <c r="C326" s="392" t="s">
        <v>264</v>
      </c>
      <c r="D326" s="392" t="s">
        <v>215</v>
      </c>
      <c r="E326" s="392" t="s">
        <v>1202</v>
      </c>
      <c r="F326" s="392" t="s">
        <v>134</v>
      </c>
      <c r="G326" s="27">
        <f>1906.9-303.2-30-60-17-15+60+10+189.5+68+40-38+38+6.1+46.6-11.1-15+35.5+28.6+3.6+89.5-100-3+4.9+10.4+40.2+22.6-69.1+15.3+8</f>
        <v>1962.3</v>
      </c>
      <c r="H326" s="27">
        <v>1876.451</v>
      </c>
      <c r="I326" s="397">
        <f t="shared" si="134"/>
        <v>95.625082810987109</v>
      </c>
      <c r="J326" s="413"/>
      <c r="K326" s="401"/>
    </row>
    <row r="327" spans="1:12" s="192" customFormat="1" ht="15.75" x14ac:dyDescent="0.25">
      <c r="A327" s="396" t="s">
        <v>135</v>
      </c>
      <c r="B327" s="390">
        <v>903</v>
      </c>
      <c r="C327" s="392" t="s">
        <v>264</v>
      </c>
      <c r="D327" s="392" t="s">
        <v>215</v>
      </c>
      <c r="E327" s="392" t="s">
        <v>1202</v>
      </c>
      <c r="F327" s="392" t="s">
        <v>145</v>
      </c>
      <c r="G327" s="27">
        <f>G328</f>
        <v>54.400000000000006</v>
      </c>
      <c r="H327" s="27">
        <f t="shared" ref="H327" si="161">H328</f>
        <v>54.366</v>
      </c>
      <c r="I327" s="397">
        <f t="shared" si="134"/>
        <v>99.937499999999986</v>
      </c>
      <c r="J327" s="413"/>
      <c r="K327" s="401"/>
    </row>
    <row r="328" spans="1:12" s="192" customFormat="1" ht="15.75" x14ac:dyDescent="0.25">
      <c r="A328" s="396" t="s">
        <v>704</v>
      </c>
      <c r="B328" s="390">
        <v>903</v>
      </c>
      <c r="C328" s="392" t="s">
        <v>264</v>
      </c>
      <c r="D328" s="392" t="s">
        <v>215</v>
      </c>
      <c r="E328" s="392" t="s">
        <v>1202</v>
      </c>
      <c r="F328" s="392" t="s">
        <v>138</v>
      </c>
      <c r="G328" s="27">
        <f>78-11.2+8.2-6.8-13.8</f>
        <v>54.400000000000006</v>
      </c>
      <c r="H328" s="27">
        <v>54.366</v>
      </c>
      <c r="I328" s="397">
        <f t="shared" si="134"/>
        <v>99.937499999999986</v>
      </c>
      <c r="J328" s="413"/>
      <c r="K328" s="401"/>
    </row>
    <row r="329" spans="1:12" s="192" customFormat="1" ht="47.25" x14ac:dyDescent="0.25">
      <c r="A329" s="396" t="s">
        <v>1660</v>
      </c>
      <c r="B329" s="390">
        <v>903</v>
      </c>
      <c r="C329" s="392" t="s">
        <v>264</v>
      </c>
      <c r="D329" s="392" t="s">
        <v>215</v>
      </c>
      <c r="E329" s="392" t="s">
        <v>1661</v>
      </c>
      <c r="F329" s="392"/>
      <c r="G329" s="27">
        <f>G330</f>
        <v>182.9</v>
      </c>
      <c r="H329" s="27">
        <f t="shared" ref="H329:H330" si="162">H330</f>
        <v>182.9</v>
      </c>
      <c r="I329" s="397">
        <f t="shared" si="134"/>
        <v>100</v>
      </c>
      <c r="J329" s="413"/>
      <c r="K329" s="401"/>
    </row>
    <row r="330" spans="1:12" s="192" customFormat="1" ht="63" x14ac:dyDescent="0.25">
      <c r="A330" s="396" t="s">
        <v>127</v>
      </c>
      <c r="B330" s="390">
        <v>903</v>
      </c>
      <c r="C330" s="392" t="s">
        <v>264</v>
      </c>
      <c r="D330" s="392" t="s">
        <v>215</v>
      </c>
      <c r="E330" s="392" t="s">
        <v>1661</v>
      </c>
      <c r="F330" s="392" t="s">
        <v>128</v>
      </c>
      <c r="G330" s="27">
        <f>G331</f>
        <v>182.9</v>
      </c>
      <c r="H330" s="27">
        <f t="shared" si="162"/>
        <v>182.9</v>
      </c>
      <c r="I330" s="397">
        <f t="shared" ref="I330:I393" si="163">H330/G330*100</f>
        <v>100</v>
      </c>
      <c r="J330" s="413"/>
      <c r="K330" s="401"/>
    </row>
    <row r="331" spans="1:12" s="192" customFormat="1" ht="15.75" x14ac:dyDescent="0.25">
      <c r="A331" s="46" t="s">
        <v>342</v>
      </c>
      <c r="B331" s="390">
        <v>903</v>
      </c>
      <c r="C331" s="392" t="s">
        <v>264</v>
      </c>
      <c r="D331" s="392" t="s">
        <v>215</v>
      </c>
      <c r="E331" s="392" t="s">
        <v>1661</v>
      </c>
      <c r="F331" s="392" t="s">
        <v>209</v>
      </c>
      <c r="G331" s="27">
        <v>182.9</v>
      </c>
      <c r="H331" s="27">
        <v>182.9</v>
      </c>
      <c r="I331" s="397">
        <f t="shared" si="163"/>
        <v>100</v>
      </c>
      <c r="J331" s="413"/>
      <c r="K331" s="401"/>
    </row>
    <row r="332" spans="1:12" s="192" customFormat="1" ht="22.7" customHeight="1" x14ac:dyDescent="0.25">
      <c r="A332" s="31" t="s">
        <v>1490</v>
      </c>
      <c r="B332" s="390">
        <v>903</v>
      </c>
      <c r="C332" s="392" t="s">
        <v>264</v>
      </c>
      <c r="D332" s="392" t="s">
        <v>215</v>
      </c>
      <c r="E332" s="392" t="s">
        <v>1462</v>
      </c>
      <c r="F332" s="392"/>
      <c r="G332" s="397">
        <f>G333</f>
        <v>8232.8000000000011</v>
      </c>
      <c r="H332" s="397">
        <f t="shared" ref="H332:H333" si="164">H333</f>
        <v>7765.0379999999996</v>
      </c>
      <c r="I332" s="397">
        <f t="shared" si="163"/>
        <v>94.31831211738411</v>
      </c>
      <c r="J332" s="413"/>
      <c r="K332" s="401"/>
    </row>
    <row r="333" spans="1:12" s="192" customFormat="1" ht="63" x14ac:dyDescent="0.25">
      <c r="A333" s="396" t="s">
        <v>127</v>
      </c>
      <c r="B333" s="390">
        <v>903</v>
      </c>
      <c r="C333" s="392" t="s">
        <v>264</v>
      </c>
      <c r="D333" s="392" t="s">
        <v>215</v>
      </c>
      <c r="E333" s="392" t="s">
        <v>1462</v>
      </c>
      <c r="F333" s="392" t="s">
        <v>128</v>
      </c>
      <c r="G333" s="397">
        <f>G334</f>
        <v>8232.8000000000011</v>
      </c>
      <c r="H333" s="397">
        <f t="shared" si="164"/>
        <v>7765.0379999999996</v>
      </c>
      <c r="I333" s="397">
        <f t="shared" si="163"/>
        <v>94.31831211738411</v>
      </c>
      <c r="J333" s="413"/>
      <c r="K333" s="401"/>
    </row>
    <row r="334" spans="1:12" s="192" customFormat="1" ht="15.75" x14ac:dyDescent="0.25">
      <c r="A334" s="396" t="s">
        <v>208</v>
      </c>
      <c r="B334" s="390">
        <v>903</v>
      </c>
      <c r="C334" s="392" t="s">
        <v>264</v>
      </c>
      <c r="D334" s="392" t="s">
        <v>215</v>
      </c>
      <c r="E334" s="392" t="s">
        <v>1462</v>
      </c>
      <c r="F334" s="392" t="s">
        <v>209</v>
      </c>
      <c r="G334" s="397">
        <f>6346.52+1155.4-582.82-146.9+77.6+137.6+85+579.1+600-143+124.3</f>
        <v>8232.8000000000011</v>
      </c>
      <c r="H334" s="480">
        <v>7765.0379999999996</v>
      </c>
      <c r="I334" s="397">
        <f t="shared" si="163"/>
        <v>94.31831211738411</v>
      </c>
      <c r="J334" s="413"/>
      <c r="K334" s="401"/>
    </row>
    <row r="335" spans="1:12" s="192" customFormat="1" ht="29.25" customHeight="1" x14ac:dyDescent="0.25">
      <c r="A335" s="200" t="s">
        <v>1300</v>
      </c>
      <c r="B335" s="391">
        <v>903</v>
      </c>
      <c r="C335" s="395" t="s">
        <v>264</v>
      </c>
      <c r="D335" s="395" t="s">
        <v>215</v>
      </c>
      <c r="E335" s="395" t="s">
        <v>1203</v>
      </c>
      <c r="F335" s="395"/>
      <c r="G335" s="44">
        <f>G336+G339</f>
        <v>335.5</v>
      </c>
      <c r="H335" s="44">
        <f t="shared" ref="H335" si="165">H336+H339</f>
        <v>335.47399999999999</v>
      </c>
      <c r="I335" s="393">
        <f t="shared" si="163"/>
        <v>99.992250372578241</v>
      </c>
      <c r="J335" s="413"/>
      <c r="K335" s="401"/>
    </row>
    <row r="336" spans="1:12" ht="15.75" x14ac:dyDescent="0.25">
      <c r="A336" s="188" t="s">
        <v>799</v>
      </c>
      <c r="B336" s="390">
        <v>903</v>
      </c>
      <c r="C336" s="392" t="s">
        <v>264</v>
      </c>
      <c r="D336" s="392" t="s">
        <v>215</v>
      </c>
      <c r="E336" s="392" t="s">
        <v>1204</v>
      </c>
      <c r="F336" s="392"/>
      <c r="G336" s="27">
        <f>G337</f>
        <v>45</v>
      </c>
      <c r="H336" s="27">
        <f t="shared" ref="H336:H337" si="166">H337</f>
        <v>45</v>
      </c>
      <c r="I336" s="397">
        <f t="shared" si="163"/>
        <v>100</v>
      </c>
      <c r="J336" s="413"/>
      <c r="K336" s="401"/>
      <c r="L336" s="192"/>
    </row>
    <row r="337" spans="1:12" ht="15.75" x14ac:dyDescent="0.25">
      <c r="A337" s="396" t="s">
        <v>248</v>
      </c>
      <c r="B337" s="390">
        <v>903</v>
      </c>
      <c r="C337" s="392" t="s">
        <v>264</v>
      </c>
      <c r="D337" s="392" t="s">
        <v>215</v>
      </c>
      <c r="E337" s="392" t="s">
        <v>1204</v>
      </c>
      <c r="F337" s="392" t="s">
        <v>249</v>
      </c>
      <c r="G337" s="27">
        <f>G338</f>
        <v>45</v>
      </c>
      <c r="H337" s="27">
        <f t="shared" si="166"/>
        <v>45</v>
      </c>
      <c r="I337" s="397">
        <f t="shared" si="163"/>
        <v>100</v>
      </c>
      <c r="J337" s="413"/>
      <c r="K337" s="401"/>
      <c r="L337" s="192"/>
    </row>
    <row r="338" spans="1:12" ht="15.75" x14ac:dyDescent="0.25">
      <c r="A338" s="396" t="s">
        <v>819</v>
      </c>
      <c r="B338" s="390">
        <v>903</v>
      </c>
      <c r="C338" s="392" t="s">
        <v>264</v>
      </c>
      <c r="D338" s="392" t="s">
        <v>215</v>
      </c>
      <c r="E338" s="392" t="s">
        <v>1204</v>
      </c>
      <c r="F338" s="392" t="s">
        <v>818</v>
      </c>
      <c r="G338" s="27">
        <v>45</v>
      </c>
      <c r="H338" s="27">
        <v>45</v>
      </c>
      <c r="I338" s="397">
        <f t="shared" si="163"/>
        <v>100</v>
      </c>
      <c r="J338" s="413"/>
      <c r="K338" s="401"/>
      <c r="L338" s="192"/>
    </row>
    <row r="339" spans="1:12" ht="36" customHeight="1" x14ac:dyDescent="0.25">
      <c r="A339" s="31" t="s">
        <v>815</v>
      </c>
      <c r="B339" s="390">
        <v>903</v>
      </c>
      <c r="C339" s="392" t="s">
        <v>264</v>
      </c>
      <c r="D339" s="392" t="s">
        <v>215</v>
      </c>
      <c r="E339" s="392" t="s">
        <v>1205</v>
      </c>
      <c r="F339" s="392"/>
      <c r="G339" s="27">
        <f>G342+G340</f>
        <v>290.5</v>
      </c>
      <c r="H339" s="27">
        <f t="shared" ref="H339" si="167">H342+H340</f>
        <v>290.47399999999999</v>
      </c>
      <c r="I339" s="397">
        <f t="shared" si="163"/>
        <v>99.991049913941481</v>
      </c>
      <c r="J339" s="413"/>
      <c r="K339" s="401"/>
      <c r="L339" s="192"/>
    </row>
    <row r="340" spans="1:12" ht="63" x14ac:dyDescent="0.25">
      <c r="A340" s="396" t="s">
        <v>127</v>
      </c>
      <c r="B340" s="390">
        <v>903</v>
      </c>
      <c r="C340" s="392" t="s">
        <v>264</v>
      </c>
      <c r="D340" s="392" t="s">
        <v>215</v>
      </c>
      <c r="E340" s="392" t="s">
        <v>1205</v>
      </c>
      <c r="F340" s="392" t="s">
        <v>128</v>
      </c>
      <c r="G340" s="27">
        <f>G341</f>
        <v>290.5</v>
      </c>
      <c r="H340" s="27">
        <f t="shared" ref="H340" si="168">H341</f>
        <v>290.47399999999999</v>
      </c>
      <c r="I340" s="397">
        <f t="shared" si="163"/>
        <v>99.991049913941481</v>
      </c>
      <c r="J340" s="413"/>
      <c r="K340" s="401"/>
      <c r="L340" s="192"/>
    </row>
    <row r="341" spans="1:12" ht="24.75" customHeight="1" x14ac:dyDescent="0.25">
      <c r="A341" s="46" t="s">
        <v>342</v>
      </c>
      <c r="B341" s="390">
        <v>903</v>
      </c>
      <c r="C341" s="392" t="s">
        <v>264</v>
      </c>
      <c r="D341" s="392" t="s">
        <v>215</v>
      </c>
      <c r="E341" s="392" t="s">
        <v>1205</v>
      </c>
      <c r="F341" s="392" t="s">
        <v>209</v>
      </c>
      <c r="G341" s="27">
        <f>264.6-14.6+57.5-4.7-12.3</f>
        <v>290.5</v>
      </c>
      <c r="H341" s="27">
        <v>290.47399999999999</v>
      </c>
      <c r="I341" s="397">
        <f t="shared" si="163"/>
        <v>99.991049913941481</v>
      </c>
      <c r="J341" s="413"/>
      <c r="K341" s="401"/>
      <c r="L341" s="192"/>
    </row>
    <row r="342" spans="1:12" ht="30.75" hidden="1" customHeight="1" x14ac:dyDescent="0.25">
      <c r="A342" s="396" t="s">
        <v>131</v>
      </c>
      <c r="B342" s="390">
        <v>903</v>
      </c>
      <c r="C342" s="392" t="s">
        <v>264</v>
      </c>
      <c r="D342" s="392" t="s">
        <v>215</v>
      </c>
      <c r="E342" s="392" t="s">
        <v>1205</v>
      </c>
      <c r="F342" s="392" t="s">
        <v>132</v>
      </c>
      <c r="G342" s="27">
        <f>G343</f>
        <v>0</v>
      </c>
      <c r="H342" s="27">
        <f t="shared" ref="H342" si="169">H343</f>
        <v>0</v>
      </c>
      <c r="I342" s="397" t="e">
        <f t="shared" si="163"/>
        <v>#DIV/0!</v>
      </c>
      <c r="J342" s="413"/>
      <c r="K342" s="401"/>
      <c r="L342" s="192"/>
    </row>
    <row r="343" spans="1:12" ht="39.200000000000003" hidden="1" customHeight="1" x14ac:dyDescent="0.25">
      <c r="A343" s="396" t="s">
        <v>133</v>
      </c>
      <c r="B343" s="390">
        <v>903</v>
      </c>
      <c r="C343" s="392" t="s">
        <v>264</v>
      </c>
      <c r="D343" s="392" t="s">
        <v>215</v>
      </c>
      <c r="E343" s="392" t="s">
        <v>1205</v>
      </c>
      <c r="F343" s="392" t="s">
        <v>134</v>
      </c>
      <c r="G343" s="27">
        <f>300-300</f>
        <v>0</v>
      </c>
      <c r="H343" s="27">
        <f t="shared" ref="H343" si="170">300-300</f>
        <v>0</v>
      </c>
      <c r="I343" s="397" t="e">
        <f t="shared" si="163"/>
        <v>#DIV/0!</v>
      </c>
      <c r="J343" s="413"/>
      <c r="K343" s="401"/>
      <c r="L343" s="192"/>
    </row>
    <row r="344" spans="1:12" s="192" customFormat="1" ht="39.200000000000003" customHeight="1" x14ac:dyDescent="0.25">
      <c r="A344" s="394" t="s">
        <v>946</v>
      </c>
      <c r="B344" s="391">
        <v>903</v>
      </c>
      <c r="C344" s="395" t="s">
        <v>264</v>
      </c>
      <c r="D344" s="395" t="s">
        <v>215</v>
      </c>
      <c r="E344" s="395" t="s">
        <v>1206</v>
      </c>
      <c r="F344" s="395"/>
      <c r="G344" s="44">
        <f>G345</f>
        <v>233.20000000000002</v>
      </c>
      <c r="H344" s="44">
        <f t="shared" ref="H344:H346" si="171">H345</f>
        <v>233.185</v>
      </c>
      <c r="I344" s="393">
        <f t="shared" si="163"/>
        <v>99.993567753001713</v>
      </c>
      <c r="J344" s="413"/>
      <c r="K344" s="401"/>
    </row>
    <row r="345" spans="1:12" s="192" customFormat="1" ht="39.200000000000003" customHeight="1" x14ac:dyDescent="0.25">
      <c r="A345" s="396" t="s">
        <v>838</v>
      </c>
      <c r="B345" s="390">
        <v>903</v>
      </c>
      <c r="C345" s="392" t="s">
        <v>264</v>
      </c>
      <c r="D345" s="392" t="s">
        <v>215</v>
      </c>
      <c r="E345" s="392" t="s">
        <v>1207</v>
      </c>
      <c r="F345" s="392"/>
      <c r="G345" s="397">
        <f>G346</f>
        <v>233.20000000000002</v>
      </c>
      <c r="H345" s="397">
        <f t="shared" si="171"/>
        <v>233.185</v>
      </c>
      <c r="I345" s="397">
        <f t="shared" si="163"/>
        <v>99.993567753001713</v>
      </c>
      <c r="J345" s="413"/>
      <c r="K345" s="401"/>
    </row>
    <row r="346" spans="1:12" s="192" customFormat="1" ht="70.5" customHeight="1" x14ac:dyDescent="0.25">
      <c r="A346" s="396" t="s">
        <v>127</v>
      </c>
      <c r="B346" s="390">
        <v>903</v>
      </c>
      <c r="C346" s="392" t="s">
        <v>264</v>
      </c>
      <c r="D346" s="392" t="s">
        <v>215</v>
      </c>
      <c r="E346" s="392" t="s">
        <v>1207</v>
      </c>
      <c r="F346" s="392" t="s">
        <v>128</v>
      </c>
      <c r="G346" s="397">
        <f>G347</f>
        <v>233.20000000000002</v>
      </c>
      <c r="H346" s="397">
        <f t="shared" si="171"/>
        <v>233.185</v>
      </c>
      <c r="I346" s="397">
        <f t="shared" si="163"/>
        <v>99.993567753001713</v>
      </c>
      <c r="J346" s="413"/>
      <c r="K346" s="401"/>
    </row>
    <row r="347" spans="1:12" s="192" customFormat="1" ht="19.7" customHeight="1" x14ac:dyDescent="0.25">
      <c r="A347" s="396" t="s">
        <v>342</v>
      </c>
      <c r="B347" s="390">
        <v>903</v>
      </c>
      <c r="C347" s="392" t="s">
        <v>264</v>
      </c>
      <c r="D347" s="392" t="s">
        <v>215</v>
      </c>
      <c r="E347" s="392" t="s">
        <v>1207</v>
      </c>
      <c r="F347" s="392" t="s">
        <v>209</v>
      </c>
      <c r="G347" s="397">
        <f>506-95.8-95.2-91+15.3-6.1</f>
        <v>233.20000000000002</v>
      </c>
      <c r="H347" s="397">
        <v>233.185</v>
      </c>
      <c r="I347" s="397">
        <f t="shared" si="163"/>
        <v>99.993567753001713</v>
      </c>
      <c r="J347" s="413"/>
      <c r="K347" s="401"/>
    </row>
    <row r="348" spans="1:12" s="192" customFormat="1" ht="39.200000000000003" customHeight="1" x14ac:dyDescent="0.25">
      <c r="A348" s="394" t="s">
        <v>899</v>
      </c>
      <c r="B348" s="391">
        <v>903</v>
      </c>
      <c r="C348" s="395" t="s">
        <v>264</v>
      </c>
      <c r="D348" s="395" t="s">
        <v>215</v>
      </c>
      <c r="E348" s="395" t="s">
        <v>1208</v>
      </c>
      <c r="F348" s="395"/>
      <c r="G348" s="44">
        <f>G352+G355+G349</f>
        <v>1075.4000000000001</v>
      </c>
      <c r="H348" s="44">
        <f t="shared" ref="H348" si="172">H352+H355+H349</f>
        <v>669.053</v>
      </c>
      <c r="I348" s="393">
        <f t="shared" si="163"/>
        <v>62.214338850660212</v>
      </c>
      <c r="J348" s="413"/>
      <c r="K348" s="401"/>
    </row>
    <row r="349" spans="1:12" s="192" customFormat="1" ht="85.7" customHeight="1" x14ac:dyDescent="0.25">
      <c r="A349" s="31" t="s">
        <v>293</v>
      </c>
      <c r="B349" s="390">
        <v>903</v>
      </c>
      <c r="C349" s="392" t="s">
        <v>264</v>
      </c>
      <c r="D349" s="392" t="s">
        <v>215</v>
      </c>
      <c r="E349" s="392" t="s">
        <v>1402</v>
      </c>
      <c r="F349" s="392"/>
      <c r="G349" s="397">
        <f>G350</f>
        <v>671</v>
      </c>
      <c r="H349" s="397">
        <f t="shared" ref="H349:H350" si="173">H350</f>
        <v>383.24</v>
      </c>
      <c r="I349" s="397">
        <f t="shared" si="163"/>
        <v>57.114754098360656</v>
      </c>
      <c r="J349" s="413"/>
      <c r="K349" s="401"/>
    </row>
    <row r="350" spans="1:12" s="192" customFormat="1" ht="61.15" customHeight="1" x14ac:dyDescent="0.25">
      <c r="A350" s="396" t="s">
        <v>127</v>
      </c>
      <c r="B350" s="390">
        <v>903</v>
      </c>
      <c r="C350" s="392" t="s">
        <v>264</v>
      </c>
      <c r="D350" s="392" t="s">
        <v>215</v>
      </c>
      <c r="E350" s="392" t="s">
        <v>1402</v>
      </c>
      <c r="F350" s="392" t="s">
        <v>128</v>
      </c>
      <c r="G350" s="397">
        <f>G351</f>
        <v>671</v>
      </c>
      <c r="H350" s="397">
        <f t="shared" si="173"/>
        <v>383.24</v>
      </c>
      <c r="I350" s="397">
        <f t="shared" si="163"/>
        <v>57.114754098360656</v>
      </c>
      <c r="J350" s="413"/>
      <c r="K350" s="401"/>
    </row>
    <row r="351" spans="1:12" s="192" customFormat="1" ht="19.149999999999999" customHeight="1" x14ac:dyDescent="0.25">
      <c r="A351" s="46" t="s">
        <v>342</v>
      </c>
      <c r="B351" s="390">
        <v>903</v>
      </c>
      <c r="C351" s="392" t="s">
        <v>264</v>
      </c>
      <c r="D351" s="392" t="s">
        <v>215</v>
      </c>
      <c r="E351" s="392" t="s">
        <v>1402</v>
      </c>
      <c r="F351" s="392" t="s">
        <v>209</v>
      </c>
      <c r="G351" s="397">
        <v>671</v>
      </c>
      <c r="H351" s="397">
        <v>383.24</v>
      </c>
      <c r="I351" s="397">
        <f t="shared" si="163"/>
        <v>57.114754098360656</v>
      </c>
      <c r="J351" s="413"/>
      <c r="K351" s="401"/>
    </row>
    <row r="352" spans="1:12" s="192" customFormat="1" ht="51.75" customHeight="1" x14ac:dyDescent="0.25">
      <c r="A352" s="31" t="s">
        <v>289</v>
      </c>
      <c r="B352" s="390">
        <v>903</v>
      </c>
      <c r="C352" s="392" t="s">
        <v>264</v>
      </c>
      <c r="D352" s="392" t="s">
        <v>215</v>
      </c>
      <c r="E352" s="392" t="s">
        <v>1209</v>
      </c>
      <c r="F352" s="392"/>
      <c r="G352" s="397">
        <f>G353</f>
        <v>106</v>
      </c>
      <c r="H352" s="397">
        <f t="shared" ref="H352:H353" si="174">H353</f>
        <v>77.772000000000006</v>
      </c>
      <c r="I352" s="397">
        <f t="shared" si="163"/>
        <v>73.369811320754721</v>
      </c>
      <c r="J352" s="413"/>
      <c r="K352" s="401"/>
    </row>
    <row r="353" spans="1:12" s="192" customFormat="1" ht="70.5" customHeight="1" x14ac:dyDescent="0.25">
      <c r="A353" s="396" t="s">
        <v>127</v>
      </c>
      <c r="B353" s="390">
        <v>903</v>
      </c>
      <c r="C353" s="392" t="s">
        <v>264</v>
      </c>
      <c r="D353" s="392" t="s">
        <v>215</v>
      </c>
      <c r="E353" s="392" t="s">
        <v>1209</v>
      </c>
      <c r="F353" s="392" t="s">
        <v>128</v>
      </c>
      <c r="G353" s="397">
        <f>G354</f>
        <v>106</v>
      </c>
      <c r="H353" s="397">
        <f t="shared" si="174"/>
        <v>77.772000000000006</v>
      </c>
      <c r="I353" s="397">
        <f t="shared" si="163"/>
        <v>73.369811320754721</v>
      </c>
      <c r="J353" s="413"/>
      <c r="K353" s="401"/>
    </row>
    <row r="354" spans="1:12" s="192" customFormat="1" ht="21.75" customHeight="1" x14ac:dyDescent="0.25">
      <c r="A354" s="46" t="s">
        <v>342</v>
      </c>
      <c r="B354" s="390">
        <v>903</v>
      </c>
      <c r="C354" s="392" t="s">
        <v>264</v>
      </c>
      <c r="D354" s="392" t="s">
        <v>215</v>
      </c>
      <c r="E354" s="392" t="s">
        <v>1209</v>
      </c>
      <c r="F354" s="392" t="s">
        <v>209</v>
      </c>
      <c r="G354" s="397">
        <v>106</v>
      </c>
      <c r="H354" s="493">
        <v>77.772000000000006</v>
      </c>
      <c r="I354" s="397">
        <f t="shared" si="163"/>
        <v>73.369811320754721</v>
      </c>
      <c r="J354" s="413"/>
      <c r="K354" s="401"/>
    </row>
    <row r="355" spans="1:12" s="192" customFormat="1" ht="55.7" customHeight="1" x14ac:dyDescent="0.25">
      <c r="A355" s="31" t="s">
        <v>291</v>
      </c>
      <c r="B355" s="390">
        <v>903</v>
      </c>
      <c r="C355" s="392" t="s">
        <v>264</v>
      </c>
      <c r="D355" s="392" t="s">
        <v>215</v>
      </c>
      <c r="E355" s="392" t="s">
        <v>1210</v>
      </c>
      <c r="F355" s="392"/>
      <c r="G355" s="397">
        <f>G356</f>
        <v>298.40000000000003</v>
      </c>
      <c r="H355" s="397">
        <f t="shared" ref="H355:H356" si="175">H356</f>
        <v>208.041</v>
      </c>
      <c r="I355" s="397">
        <f t="shared" si="163"/>
        <v>69.71883378016085</v>
      </c>
      <c r="J355" s="413"/>
      <c r="K355" s="401"/>
    </row>
    <row r="356" spans="1:12" s="192" customFormat="1" ht="69.75" customHeight="1" x14ac:dyDescent="0.25">
      <c r="A356" s="396" t="s">
        <v>127</v>
      </c>
      <c r="B356" s="390">
        <v>903</v>
      </c>
      <c r="C356" s="392" t="s">
        <v>264</v>
      </c>
      <c r="D356" s="392" t="s">
        <v>215</v>
      </c>
      <c r="E356" s="392" t="s">
        <v>1210</v>
      </c>
      <c r="F356" s="392" t="s">
        <v>128</v>
      </c>
      <c r="G356" s="397">
        <f>G357</f>
        <v>298.40000000000003</v>
      </c>
      <c r="H356" s="397">
        <f t="shared" si="175"/>
        <v>208.041</v>
      </c>
      <c r="I356" s="397">
        <f t="shared" si="163"/>
        <v>69.71883378016085</v>
      </c>
      <c r="J356" s="413"/>
      <c r="K356" s="401"/>
    </row>
    <row r="357" spans="1:12" s="192" customFormat="1" ht="21.2" customHeight="1" x14ac:dyDescent="0.25">
      <c r="A357" s="46" t="s">
        <v>342</v>
      </c>
      <c r="B357" s="390">
        <v>903</v>
      </c>
      <c r="C357" s="392" t="s">
        <v>264</v>
      </c>
      <c r="D357" s="392" t="s">
        <v>215</v>
      </c>
      <c r="E357" s="392" t="s">
        <v>1210</v>
      </c>
      <c r="F357" s="392" t="s">
        <v>209</v>
      </c>
      <c r="G357" s="397">
        <f>298.35+0.05</f>
        <v>298.40000000000003</v>
      </c>
      <c r="H357" s="397">
        <v>208.041</v>
      </c>
      <c r="I357" s="397">
        <f t="shared" si="163"/>
        <v>69.71883378016085</v>
      </c>
      <c r="J357" s="413"/>
      <c r="K357" s="401"/>
    </row>
    <row r="358" spans="1:12" s="192" customFormat="1" ht="50.25" customHeight="1" x14ac:dyDescent="0.25">
      <c r="A358" s="34" t="s">
        <v>1356</v>
      </c>
      <c r="B358" s="391">
        <v>903</v>
      </c>
      <c r="C358" s="395" t="s">
        <v>264</v>
      </c>
      <c r="D358" s="395" t="s">
        <v>215</v>
      </c>
      <c r="E358" s="395" t="s">
        <v>324</v>
      </c>
      <c r="F358" s="395"/>
      <c r="G358" s="393">
        <f>G360</f>
        <v>9.5</v>
      </c>
      <c r="H358" s="393">
        <f t="shared" ref="H358" si="176">H360</f>
        <v>9.4499999999999993</v>
      </c>
      <c r="I358" s="393">
        <f t="shared" si="163"/>
        <v>99.473684210526301</v>
      </c>
      <c r="J358" s="413"/>
      <c r="K358" s="401"/>
    </row>
    <row r="359" spans="1:12" s="192" customFormat="1" ht="49.7" customHeight="1" x14ac:dyDescent="0.25">
      <c r="A359" s="34" t="s">
        <v>1024</v>
      </c>
      <c r="B359" s="391">
        <v>903</v>
      </c>
      <c r="C359" s="395" t="s">
        <v>264</v>
      </c>
      <c r="D359" s="395" t="s">
        <v>215</v>
      </c>
      <c r="E359" s="395" t="s">
        <v>933</v>
      </c>
      <c r="F359" s="395"/>
      <c r="G359" s="393">
        <f>G362</f>
        <v>9.5</v>
      </c>
      <c r="H359" s="393">
        <f t="shared" ref="H359" si="177">H362</f>
        <v>9.4499999999999993</v>
      </c>
      <c r="I359" s="393">
        <f t="shared" si="163"/>
        <v>99.473684210526301</v>
      </c>
      <c r="J359" s="413"/>
      <c r="K359" s="401"/>
    </row>
    <row r="360" spans="1:12" s="192" customFormat="1" ht="48.2" customHeight="1" x14ac:dyDescent="0.25">
      <c r="A360" s="31" t="s">
        <v>1081</v>
      </c>
      <c r="B360" s="390">
        <v>903</v>
      </c>
      <c r="C360" s="392" t="s">
        <v>264</v>
      </c>
      <c r="D360" s="392" t="s">
        <v>215</v>
      </c>
      <c r="E360" s="392" t="s">
        <v>1025</v>
      </c>
      <c r="F360" s="392"/>
      <c r="G360" s="397">
        <f>G361</f>
        <v>9.5</v>
      </c>
      <c r="H360" s="397">
        <f t="shared" ref="H360:H361" si="178">H361</f>
        <v>9.4499999999999993</v>
      </c>
      <c r="I360" s="397">
        <f t="shared" si="163"/>
        <v>99.473684210526301</v>
      </c>
      <c r="J360" s="413"/>
      <c r="K360" s="401"/>
    </row>
    <row r="361" spans="1:12" s="192" customFormat="1" ht="31.9" customHeight="1" x14ac:dyDescent="0.25">
      <c r="A361" s="396" t="s">
        <v>131</v>
      </c>
      <c r="B361" s="390">
        <v>903</v>
      </c>
      <c r="C361" s="392" t="s">
        <v>264</v>
      </c>
      <c r="D361" s="392" t="s">
        <v>215</v>
      </c>
      <c r="E361" s="392" t="s">
        <v>1025</v>
      </c>
      <c r="F361" s="392" t="s">
        <v>132</v>
      </c>
      <c r="G361" s="397">
        <f>G362</f>
        <v>9.5</v>
      </c>
      <c r="H361" s="397">
        <f t="shared" si="178"/>
        <v>9.4499999999999993</v>
      </c>
      <c r="I361" s="397">
        <f t="shared" si="163"/>
        <v>99.473684210526301</v>
      </c>
      <c r="J361" s="413"/>
      <c r="K361" s="401"/>
    </row>
    <row r="362" spans="1:12" s="192" customFormat="1" ht="34.700000000000003" customHeight="1" x14ac:dyDescent="0.25">
      <c r="A362" s="396" t="s">
        <v>133</v>
      </c>
      <c r="B362" s="390">
        <v>903</v>
      </c>
      <c r="C362" s="392" t="s">
        <v>264</v>
      </c>
      <c r="D362" s="392" t="s">
        <v>215</v>
      </c>
      <c r="E362" s="392" t="s">
        <v>1025</v>
      </c>
      <c r="F362" s="392" t="s">
        <v>134</v>
      </c>
      <c r="G362" s="397">
        <f>8+1.5</f>
        <v>9.5</v>
      </c>
      <c r="H362" s="480">
        <v>9.4499999999999993</v>
      </c>
      <c r="I362" s="397">
        <f t="shared" si="163"/>
        <v>99.473684210526301</v>
      </c>
      <c r="J362" s="413"/>
      <c r="K362" s="401"/>
    </row>
    <row r="363" spans="1:12" ht="51" customHeight="1" x14ac:dyDescent="0.25">
      <c r="A363" s="400" t="s">
        <v>1351</v>
      </c>
      <c r="B363" s="391">
        <v>903</v>
      </c>
      <c r="C363" s="395" t="s">
        <v>264</v>
      </c>
      <c r="D363" s="395" t="s">
        <v>215</v>
      </c>
      <c r="E363" s="395" t="s">
        <v>705</v>
      </c>
      <c r="F363" s="395"/>
      <c r="G363" s="393">
        <f>G365</f>
        <v>494.4</v>
      </c>
      <c r="H363" s="393">
        <f t="shared" ref="H363" si="179">H365</f>
        <v>494.322</v>
      </c>
      <c r="I363" s="393">
        <f t="shared" si="163"/>
        <v>99.984223300970882</v>
      </c>
      <c r="J363" s="413"/>
      <c r="K363" s="401"/>
      <c r="L363" s="192"/>
    </row>
    <row r="364" spans="1:12" s="192" customFormat="1" ht="48.75" customHeight="1" x14ac:dyDescent="0.25">
      <c r="A364" s="400" t="s">
        <v>889</v>
      </c>
      <c r="B364" s="391">
        <v>903</v>
      </c>
      <c r="C364" s="395" t="s">
        <v>264</v>
      </c>
      <c r="D364" s="395" t="s">
        <v>215</v>
      </c>
      <c r="E364" s="395" t="s">
        <v>887</v>
      </c>
      <c r="F364" s="395"/>
      <c r="G364" s="393">
        <f>G365</f>
        <v>494.4</v>
      </c>
      <c r="H364" s="393">
        <f t="shared" ref="H364:H366" si="180">H365</f>
        <v>494.322</v>
      </c>
      <c r="I364" s="393">
        <f t="shared" si="163"/>
        <v>99.984223300970882</v>
      </c>
      <c r="J364" s="413"/>
      <c r="K364" s="401"/>
    </row>
    <row r="365" spans="1:12" ht="32.25" customHeight="1" x14ac:dyDescent="0.25">
      <c r="A365" s="98" t="s">
        <v>1003</v>
      </c>
      <c r="B365" s="392" t="s">
        <v>627</v>
      </c>
      <c r="C365" s="392" t="s">
        <v>264</v>
      </c>
      <c r="D365" s="392" t="s">
        <v>215</v>
      </c>
      <c r="E365" s="392" t="s">
        <v>888</v>
      </c>
      <c r="F365" s="398"/>
      <c r="G365" s="397">
        <f>G366</f>
        <v>494.4</v>
      </c>
      <c r="H365" s="397">
        <f t="shared" si="180"/>
        <v>494.322</v>
      </c>
      <c r="I365" s="397">
        <f t="shared" si="163"/>
        <v>99.984223300970882</v>
      </c>
      <c r="J365" s="413"/>
      <c r="K365" s="401"/>
      <c r="L365" s="192"/>
    </row>
    <row r="366" spans="1:12" ht="33" customHeight="1" x14ac:dyDescent="0.25">
      <c r="A366" s="396" t="s">
        <v>131</v>
      </c>
      <c r="B366" s="390">
        <v>903</v>
      </c>
      <c r="C366" s="392" t="s">
        <v>264</v>
      </c>
      <c r="D366" s="392" t="s">
        <v>215</v>
      </c>
      <c r="E366" s="392" t="s">
        <v>888</v>
      </c>
      <c r="F366" s="398" t="s">
        <v>132</v>
      </c>
      <c r="G366" s="397">
        <f>G367</f>
        <v>494.4</v>
      </c>
      <c r="H366" s="397">
        <f t="shared" si="180"/>
        <v>494.322</v>
      </c>
      <c r="I366" s="397">
        <f t="shared" si="163"/>
        <v>99.984223300970882</v>
      </c>
      <c r="J366" s="413"/>
      <c r="K366" s="401"/>
      <c r="L366" s="192"/>
    </row>
    <row r="367" spans="1:12" ht="34.5" customHeight="1" x14ac:dyDescent="0.25">
      <c r="A367" s="396" t="s">
        <v>133</v>
      </c>
      <c r="B367" s="390">
        <v>903</v>
      </c>
      <c r="C367" s="392" t="s">
        <v>264</v>
      </c>
      <c r="D367" s="392" t="s">
        <v>215</v>
      </c>
      <c r="E367" s="392" t="s">
        <v>888</v>
      </c>
      <c r="F367" s="398" t="s">
        <v>134</v>
      </c>
      <c r="G367" s="397">
        <f>471.3-223.9+148.5-71.4+84+187-101.1</f>
        <v>494.4</v>
      </c>
      <c r="H367" s="397">
        <v>494.322</v>
      </c>
      <c r="I367" s="397">
        <f t="shared" si="163"/>
        <v>99.984223300970882</v>
      </c>
      <c r="J367" s="413"/>
      <c r="K367" s="413"/>
      <c r="L367" s="192"/>
    </row>
    <row r="368" spans="1:12" ht="19.5" customHeight="1" x14ac:dyDescent="0.25">
      <c r="A368" s="394" t="s">
        <v>466</v>
      </c>
      <c r="B368" s="391">
        <v>903</v>
      </c>
      <c r="C368" s="395" t="s">
        <v>264</v>
      </c>
      <c r="D368" s="395" t="s">
        <v>264</v>
      </c>
      <c r="E368" s="392"/>
      <c r="F368" s="392"/>
      <c r="G368" s="393">
        <f>G369</f>
        <v>1052.55</v>
      </c>
      <c r="H368" s="393">
        <f t="shared" ref="H368:H369" si="181">H369</f>
        <v>1052.3110000000001</v>
      </c>
      <c r="I368" s="393">
        <f t="shared" si="163"/>
        <v>99.977293240226146</v>
      </c>
      <c r="J368" s="413"/>
      <c r="K368" s="401"/>
      <c r="L368" s="192"/>
    </row>
    <row r="369" spans="1:12" ht="50.25" customHeight="1" x14ac:dyDescent="0.25">
      <c r="A369" s="394" t="s">
        <v>1346</v>
      </c>
      <c r="B369" s="391">
        <v>903</v>
      </c>
      <c r="C369" s="395" t="s">
        <v>264</v>
      </c>
      <c r="D369" s="395" t="s">
        <v>264</v>
      </c>
      <c r="E369" s="395" t="s">
        <v>344</v>
      </c>
      <c r="F369" s="395"/>
      <c r="G369" s="393">
        <f>G370</f>
        <v>1052.55</v>
      </c>
      <c r="H369" s="393">
        <f t="shared" si="181"/>
        <v>1052.3110000000001</v>
      </c>
      <c r="I369" s="393">
        <f t="shared" si="163"/>
        <v>99.977293240226146</v>
      </c>
      <c r="J369" s="413"/>
      <c r="K369" s="401"/>
      <c r="L369" s="192"/>
    </row>
    <row r="370" spans="1:12" ht="32.25" customHeight="1" x14ac:dyDescent="0.25">
      <c r="A370" s="394" t="s">
        <v>345</v>
      </c>
      <c r="B370" s="391">
        <v>903</v>
      </c>
      <c r="C370" s="395" t="s">
        <v>264</v>
      </c>
      <c r="D370" s="395" t="s">
        <v>264</v>
      </c>
      <c r="E370" s="395" t="s">
        <v>346</v>
      </c>
      <c r="F370" s="395"/>
      <c r="G370" s="393">
        <f>G371+G378+G387</f>
        <v>1052.55</v>
      </c>
      <c r="H370" s="393">
        <f t="shared" ref="H370" si="182">H371+H378+H387</f>
        <v>1052.3110000000001</v>
      </c>
      <c r="I370" s="393">
        <f t="shared" si="163"/>
        <v>99.977293240226146</v>
      </c>
      <c r="J370" s="413"/>
      <c r="K370" s="401"/>
      <c r="L370" s="192"/>
    </row>
    <row r="371" spans="1:12" s="192" customFormat="1" ht="48.75" customHeight="1" x14ac:dyDescent="0.25">
      <c r="A371" s="195" t="s">
        <v>1029</v>
      </c>
      <c r="B371" s="391">
        <v>903</v>
      </c>
      <c r="C371" s="395" t="s">
        <v>264</v>
      </c>
      <c r="D371" s="395" t="s">
        <v>264</v>
      </c>
      <c r="E371" s="395" t="s">
        <v>891</v>
      </c>
      <c r="F371" s="395"/>
      <c r="G371" s="393">
        <f>G372+G375</f>
        <v>267.3</v>
      </c>
      <c r="H371" s="393">
        <f t="shared" ref="H371" si="183">H372+H375</f>
        <v>267.17700000000002</v>
      </c>
      <c r="I371" s="393">
        <f t="shared" si="163"/>
        <v>99.953984287317624</v>
      </c>
      <c r="J371" s="413"/>
      <c r="K371" s="401"/>
    </row>
    <row r="372" spans="1:12" s="192" customFormat="1" ht="23.25" customHeight="1" x14ac:dyDescent="0.25">
      <c r="A372" s="98" t="s">
        <v>1035</v>
      </c>
      <c r="B372" s="390">
        <v>903</v>
      </c>
      <c r="C372" s="392" t="s">
        <v>264</v>
      </c>
      <c r="D372" s="392" t="s">
        <v>264</v>
      </c>
      <c r="E372" s="392" t="s">
        <v>892</v>
      </c>
      <c r="F372" s="392"/>
      <c r="G372" s="397">
        <f>G373</f>
        <v>267.3</v>
      </c>
      <c r="H372" s="397">
        <f t="shared" ref="H372:H373" si="184">H373</f>
        <v>267.17700000000002</v>
      </c>
      <c r="I372" s="397">
        <f t="shared" si="163"/>
        <v>99.953984287317624</v>
      </c>
      <c r="J372" s="413"/>
      <c r="K372" s="401"/>
    </row>
    <row r="373" spans="1:12" s="192" customFormat="1" ht="66.599999999999994" customHeight="1" x14ac:dyDescent="0.25">
      <c r="A373" s="396" t="s">
        <v>127</v>
      </c>
      <c r="B373" s="390">
        <v>903</v>
      </c>
      <c r="C373" s="392" t="s">
        <v>264</v>
      </c>
      <c r="D373" s="392" t="s">
        <v>264</v>
      </c>
      <c r="E373" s="392" t="s">
        <v>892</v>
      </c>
      <c r="F373" s="392" t="s">
        <v>128</v>
      </c>
      <c r="G373" s="397">
        <f>G374</f>
        <v>267.3</v>
      </c>
      <c r="H373" s="397">
        <f t="shared" si="184"/>
        <v>267.17700000000002</v>
      </c>
      <c r="I373" s="397">
        <f t="shared" si="163"/>
        <v>99.953984287317624</v>
      </c>
      <c r="J373" s="413"/>
      <c r="K373" s="401"/>
    </row>
    <row r="374" spans="1:12" s="192" customFormat="1" ht="18" customHeight="1" x14ac:dyDescent="0.25">
      <c r="A374" s="396" t="s">
        <v>342</v>
      </c>
      <c r="B374" s="390">
        <v>903</v>
      </c>
      <c r="C374" s="392" t="s">
        <v>264</v>
      </c>
      <c r="D374" s="392" t="s">
        <v>264</v>
      </c>
      <c r="E374" s="392" t="s">
        <v>892</v>
      </c>
      <c r="F374" s="392" t="s">
        <v>209</v>
      </c>
      <c r="G374" s="397">
        <f>280-9.7-3</f>
        <v>267.3</v>
      </c>
      <c r="H374" s="397">
        <v>267.17700000000002</v>
      </c>
      <c r="I374" s="397">
        <f t="shared" si="163"/>
        <v>99.953984287317624</v>
      </c>
      <c r="J374" s="413"/>
      <c r="K374" s="401"/>
    </row>
    <row r="375" spans="1:12" s="192" customFormat="1" ht="19.5" hidden="1" customHeight="1" x14ac:dyDescent="0.25">
      <c r="A375" s="396" t="s">
        <v>1030</v>
      </c>
      <c r="B375" s="390">
        <v>903</v>
      </c>
      <c r="C375" s="392" t="s">
        <v>264</v>
      </c>
      <c r="D375" s="392" t="s">
        <v>264</v>
      </c>
      <c r="E375" s="392" t="s">
        <v>1047</v>
      </c>
      <c r="F375" s="392"/>
      <c r="G375" s="397">
        <f>G376</f>
        <v>0</v>
      </c>
      <c r="H375" s="397">
        <f t="shared" ref="H375:H376" si="185">H376</f>
        <v>0</v>
      </c>
      <c r="I375" s="397" t="e">
        <f t="shared" si="163"/>
        <v>#DIV/0!</v>
      </c>
      <c r="J375" s="413"/>
      <c r="K375" s="401"/>
    </row>
    <row r="376" spans="1:12" s="192" customFormat="1" ht="32.25" hidden="1" customHeight="1" x14ac:dyDescent="0.25">
      <c r="A376" s="396" t="s">
        <v>131</v>
      </c>
      <c r="B376" s="390">
        <v>903</v>
      </c>
      <c r="C376" s="392" t="s">
        <v>264</v>
      </c>
      <c r="D376" s="392" t="s">
        <v>264</v>
      </c>
      <c r="E376" s="392" t="s">
        <v>1047</v>
      </c>
      <c r="F376" s="392" t="s">
        <v>132</v>
      </c>
      <c r="G376" s="397">
        <f>G377</f>
        <v>0</v>
      </c>
      <c r="H376" s="397">
        <f t="shared" si="185"/>
        <v>0</v>
      </c>
      <c r="I376" s="397" t="e">
        <f t="shared" si="163"/>
        <v>#DIV/0!</v>
      </c>
      <c r="J376" s="413"/>
      <c r="K376" s="401"/>
    </row>
    <row r="377" spans="1:12" s="192" customFormat="1" ht="37.5" hidden="1" customHeight="1" x14ac:dyDescent="0.25">
      <c r="A377" s="396" t="s">
        <v>133</v>
      </c>
      <c r="B377" s="390">
        <v>903</v>
      </c>
      <c r="C377" s="392" t="s">
        <v>264</v>
      </c>
      <c r="D377" s="392" t="s">
        <v>264</v>
      </c>
      <c r="E377" s="392" t="s">
        <v>1047</v>
      </c>
      <c r="F377" s="392" t="s">
        <v>134</v>
      </c>
      <c r="G377" s="397">
        <v>0</v>
      </c>
      <c r="H377" s="397">
        <v>0</v>
      </c>
      <c r="I377" s="397" t="e">
        <f t="shared" si="163"/>
        <v>#DIV/0!</v>
      </c>
      <c r="J377" s="413"/>
      <c r="K377" s="401"/>
    </row>
    <row r="378" spans="1:12" s="192" customFormat="1" ht="64.5" customHeight="1" x14ac:dyDescent="0.25">
      <c r="A378" s="394" t="s">
        <v>1031</v>
      </c>
      <c r="B378" s="391">
        <v>903</v>
      </c>
      <c r="C378" s="395" t="s">
        <v>264</v>
      </c>
      <c r="D378" s="395" t="s">
        <v>264</v>
      </c>
      <c r="E378" s="395" t="s">
        <v>893</v>
      </c>
      <c r="F378" s="395"/>
      <c r="G378" s="393">
        <f>G379+G384</f>
        <v>760.25</v>
      </c>
      <c r="H378" s="393">
        <f t="shared" ref="H378" si="186">H379+H384</f>
        <v>760.13400000000001</v>
      </c>
      <c r="I378" s="393">
        <f t="shared" si="163"/>
        <v>99.984741861229864</v>
      </c>
      <c r="J378" s="413"/>
      <c r="K378" s="401"/>
    </row>
    <row r="379" spans="1:12" ht="15.75" customHeight="1" x14ac:dyDescent="0.25">
      <c r="A379" s="396" t="s">
        <v>1032</v>
      </c>
      <c r="B379" s="390">
        <v>903</v>
      </c>
      <c r="C379" s="392" t="s">
        <v>264</v>
      </c>
      <c r="D379" s="392" t="s">
        <v>264</v>
      </c>
      <c r="E379" s="392" t="s">
        <v>900</v>
      </c>
      <c r="F379" s="392"/>
      <c r="G379" s="397">
        <f>G382+G381</f>
        <v>462.02299999999997</v>
      </c>
      <c r="H379" s="397">
        <f t="shared" ref="H379" si="187">H382+H381</f>
        <v>461.90700000000004</v>
      </c>
      <c r="I379" s="397">
        <f t="shared" si="163"/>
        <v>99.97489302480615</v>
      </c>
      <c r="J379" s="413"/>
      <c r="K379" s="401"/>
      <c r="L379" s="192"/>
    </row>
    <row r="380" spans="1:12" ht="63" customHeight="1" x14ac:dyDescent="0.25">
      <c r="A380" s="396" t="s">
        <v>127</v>
      </c>
      <c r="B380" s="390">
        <v>903</v>
      </c>
      <c r="C380" s="392" t="s">
        <v>264</v>
      </c>
      <c r="D380" s="392" t="s">
        <v>264</v>
      </c>
      <c r="E380" s="392" t="s">
        <v>900</v>
      </c>
      <c r="F380" s="392" t="s">
        <v>128</v>
      </c>
      <c r="G380" s="397">
        <f>G381</f>
        <v>18.623000000000001</v>
      </c>
      <c r="H380" s="397">
        <f t="shared" ref="H380" si="188">H381</f>
        <v>18.55</v>
      </c>
      <c r="I380" s="397">
        <f t="shared" si="163"/>
        <v>99.608011598560921</v>
      </c>
      <c r="J380" s="413"/>
      <c r="K380" s="401"/>
      <c r="L380" s="192"/>
    </row>
    <row r="381" spans="1:12" ht="20.25" customHeight="1" x14ac:dyDescent="0.25">
      <c r="A381" s="396" t="s">
        <v>342</v>
      </c>
      <c r="B381" s="390">
        <v>903</v>
      </c>
      <c r="C381" s="392" t="s">
        <v>264</v>
      </c>
      <c r="D381" s="392" t="s">
        <v>264</v>
      </c>
      <c r="E381" s="392" t="s">
        <v>900</v>
      </c>
      <c r="F381" s="392" t="s">
        <v>209</v>
      </c>
      <c r="G381" s="397">
        <f>40-31.4+10+0.023</f>
        <v>18.623000000000001</v>
      </c>
      <c r="H381" s="397">
        <v>18.55</v>
      </c>
      <c r="I381" s="397">
        <f t="shared" si="163"/>
        <v>99.608011598560921</v>
      </c>
      <c r="J381" s="413"/>
      <c r="K381" s="401"/>
      <c r="L381" s="192"/>
    </row>
    <row r="382" spans="1:12" ht="36.75" customHeight="1" x14ac:dyDescent="0.25">
      <c r="A382" s="396" t="s">
        <v>131</v>
      </c>
      <c r="B382" s="390">
        <v>903</v>
      </c>
      <c r="C382" s="392" t="s">
        <v>264</v>
      </c>
      <c r="D382" s="392" t="s">
        <v>264</v>
      </c>
      <c r="E382" s="392" t="s">
        <v>900</v>
      </c>
      <c r="F382" s="392" t="s">
        <v>132</v>
      </c>
      <c r="G382" s="397">
        <f>G383</f>
        <v>443.4</v>
      </c>
      <c r="H382" s="397">
        <f t="shared" ref="H382" si="189">H383</f>
        <v>443.35700000000003</v>
      </c>
      <c r="I382" s="397">
        <f t="shared" si="163"/>
        <v>99.990302210193974</v>
      </c>
      <c r="J382" s="413"/>
      <c r="K382" s="401"/>
      <c r="L382" s="192"/>
    </row>
    <row r="383" spans="1:12" ht="39.200000000000003" customHeight="1" x14ac:dyDescent="0.25">
      <c r="A383" s="396" t="s">
        <v>133</v>
      </c>
      <c r="B383" s="390">
        <v>903</v>
      </c>
      <c r="C383" s="392" t="s">
        <v>264</v>
      </c>
      <c r="D383" s="392" t="s">
        <v>264</v>
      </c>
      <c r="E383" s="392" t="s">
        <v>900</v>
      </c>
      <c r="F383" s="392" t="s">
        <v>134</v>
      </c>
      <c r="G383" s="397">
        <f>415-135.5+135.5-12.3+9.7+3+27.7+0.3</f>
        <v>443.4</v>
      </c>
      <c r="H383" s="397">
        <v>443.35700000000003</v>
      </c>
      <c r="I383" s="397">
        <f t="shared" si="163"/>
        <v>99.990302210193974</v>
      </c>
      <c r="J383" s="413"/>
      <c r="K383" s="401"/>
      <c r="L383" s="192"/>
    </row>
    <row r="384" spans="1:12" s="192" customFormat="1" ht="15.75" x14ac:dyDescent="0.25">
      <c r="A384" s="396" t="s">
        <v>1654</v>
      </c>
      <c r="B384" s="390">
        <v>903</v>
      </c>
      <c r="C384" s="392" t="s">
        <v>264</v>
      </c>
      <c r="D384" s="392" t="s">
        <v>264</v>
      </c>
      <c r="E384" s="392" t="s">
        <v>1655</v>
      </c>
      <c r="F384" s="392"/>
      <c r="G384" s="397">
        <f>G385</f>
        <v>298.22699999999998</v>
      </c>
      <c r="H384" s="397">
        <f t="shared" ref="H384:H385" si="190">H385</f>
        <v>298.22699999999998</v>
      </c>
      <c r="I384" s="397">
        <f t="shared" si="163"/>
        <v>100</v>
      </c>
      <c r="J384" s="413"/>
      <c r="K384" s="401"/>
    </row>
    <row r="385" spans="1:12" s="192" customFormat="1" ht="31.5" x14ac:dyDescent="0.25">
      <c r="A385" s="396" t="s">
        <v>131</v>
      </c>
      <c r="B385" s="390">
        <v>903</v>
      </c>
      <c r="C385" s="392" t="s">
        <v>264</v>
      </c>
      <c r="D385" s="392" t="s">
        <v>264</v>
      </c>
      <c r="E385" s="392" t="s">
        <v>1655</v>
      </c>
      <c r="F385" s="392" t="s">
        <v>132</v>
      </c>
      <c r="G385" s="397">
        <f>G386</f>
        <v>298.22699999999998</v>
      </c>
      <c r="H385" s="397">
        <f t="shared" si="190"/>
        <v>298.22699999999998</v>
      </c>
      <c r="I385" s="397">
        <f t="shared" si="163"/>
        <v>100</v>
      </c>
      <c r="J385" s="413"/>
      <c r="K385" s="401"/>
    </row>
    <row r="386" spans="1:12" s="192" customFormat="1" ht="31.5" x14ac:dyDescent="0.25">
      <c r="A386" s="396" t="s">
        <v>133</v>
      </c>
      <c r="B386" s="390">
        <v>903</v>
      </c>
      <c r="C386" s="392" t="s">
        <v>264</v>
      </c>
      <c r="D386" s="392" t="s">
        <v>264</v>
      </c>
      <c r="E386" s="392" t="s">
        <v>1655</v>
      </c>
      <c r="F386" s="392" t="s">
        <v>134</v>
      </c>
      <c r="G386" s="397">
        <f>286+12.227</f>
        <v>298.22699999999998</v>
      </c>
      <c r="H386" s="397">
        <v>298.22699999999998</v>
      </c>
      <c r="I386" s="397">
        <f t="shared" si="163"/>
        <v>100</v>
      </c>
      <c r="J386" s="413"/>
      <c r="K386" s="401"/>
    </row>
    <row r="387" spans="1:12" s="192" customFormat="1" ht="35.450000000000003" customHeight="1" x14ac:dyDescent="0.25">
      <c r="A387" s="394" t="s">
        <v>1037</v>
      </c>
      <c r="B387" s="391">
        <v>903</v>
      </c>
      <c r="C387" s="395" t="s">
        <v>264</v>
      </c>
      <c r="D387" s="395" t="s">
        <v>264</v>
      </c>
      <c r="E387" s="395" t="s">
        <v>1033</v>
      </c>
      <c r="F387" s="395"/>
      <c r="G387" s="393">
        <f>G388</f>
        <v>25</v>
      </c>
      <c r="H387" s="393">
        <f t="shared" ref="H387:H389" si="191">H388</f>
        <v>25</v>
      </c>
      <c r="I387" s="393">
        <f t="shared" si="163"/>
        <v>100</v>
      </c>
      <c r="J387" s="413"/>
      <c r="K387" s="401"/>
    </row>
    <row r="388" spans="1:12" s="192" customFormat="1" ht="39.75" customHeight="1" x14ac:dyDescent="0.25">
      <c r="A388" s="215" t="s">
        <v>1034</v>
      </c>
      <c r="B388" s="390">
        <v>903</v>
      </c>
      <c r="C388" s="392" t="s">
        <v>264</v>
      </c>
      <c r="D388" s="392" t="s">
        <v>264</v>
      </c>
      <c r="E388" s="392" t="s">
        <v>1048</v>
      </c>
      <c r="F388" s="392"/>
      <c r="G388" s="397">
        <f>G389</f>
        <v>25</v>
      </c>
      <c r="H388" s="397">
        <f t="shared" si="191"/>
        <v>25</v>
      </c>
      <c r="I388" s="397">
        <f t="shared" si="163"/>
        <v>100</v>
      </c>
      <c r="J388" s="413"/>
      <c r="K388" s="401"/>
    </row>
    <row r="389" spans="1:12" s="192" customFormat="1" ht="17.45" customHeight="1" x14ac:dyDescent="0.25">
      <c r="A389" s="396" t="s">
        <v>248</v>
      </c>
      <c r="B389" s="390">
        <v>903</v>
      </c>
      <c r="C389" s="392" t="s">
        <v>264</v>
      </c>
      <c r="D389" s="392" t="s">
        <v>264</v>
      </c>
      <c r="E389" s="392" t="s">
        <v>1048</v>
      </c>
      <c r="F389" s="392" t="s">
        <v>249</v>
      </c>
      <c r="G389" s="397">
        <f>G390</f>
        <v>25</v>
      </c>
      <c r="H389" s="397">
        <f t="shared" si="191"/>
        <v>25</v>
      </c>
      <c r="I389" s="397">
        <f t="shared" si="163"/>
        <v>100</v>
      </c>
      <c r="J389" s="413"/>
      <c r="K389" s="401"/>
    </row>
    <row r="390" spans="1:12" s="192" customFormat="1" ht="35.450000000000003" customHeight="1" x14ac:dyDescent="0.25">
      <c r="A390" s="396" t="s">
        <v>1194</v>
      </c>
      <c r="B390" s="390">
        <v>903</v>
      </c>
      <c r="C390" s="392" t="s">
        <v>264</v>
      </c>
      <c r="D390" s="392" t="s">
        <v>264</v>
      </c>
      <c r="E390" s="392" t="s">
        <v>1048</v>
      </c>
      <c r="F390" s="392" t="s">
        <v>1193</v>
      </c>
      <c r="G390" s="397">
        <v>25</v>
      </c>
      <c r="H390" s="397">
        <v>25</v>
      </c>
      <c r="I390" s="397">
        <f t="shared" si="163"/>
        <v>100</v>
      </c>
      <c r="J390" s="413"/>
      <c r="K390" s="401"/>
    </row>
    <row r="391" spans="1:12" s="192" customFormat="1" ht="21.75" customHeight="1" x14ac:dyDescent="0.25">
      <c r="A391" s="394" t="s">
        <v>295</v>
      </c>
      <c r="B391" s="391">
        <v>903</v>
      </c>
      <c r="C391" s="395" t="s">
        <v>264</v>
      </c>
      <c r="D391" s="395" t="s">
        <v>219</v>
      </c>
      <c r="E391" s="395"/>
      <c r="F391" s="395"/>
      <c r="G391" s="393">
        <f>G392</f>
        <v>315</v>
      </c>
      <c r="H391" s="393">
        <f t="shared" ref="H391:H394" si="192">H392</f>
        <v>315</v>
      </c>
      <c r="I391" s="393">
        <f t="shared" si="163"/>
        <v>100</v>
      </c>
      <c r="J391" s="413"/>
      <c r="K391" s="401"/>
    </row>
    <row r="392" spans="1:12" s="192" customFormat="1" ht="35.450000000000003" customHeight="1" x14ac:dyDescent="0.25">
      <c r="A392" s="34" t="s">
        <v>869</v>
      </c>
      <c r="B392" s="391">
        <v>903</v>
      </c>
      <c r="C392" s="395" t="s">
        <v>264</v>
      </c>
      <c r="D392" s="395" t="s">
        <v>219</v>
      </c>
      <c r="E392" s="395" t="s">
        <v>864</v>
      </c>
      <c r="F392" s="395"/>
      <c r="G392" s="393">
        <f>G393</f>
        <v>315</v>
      </c>
      <c r="H392" s="393">
        <f t="shared" si="192"/>
        <v>315</v>
      </c>
      <c r="I392" s="393">
        <f t="shared" si="163"/>
        <v>100</v>
      </c>
      <c r="J392" s="413"/>
      <c r="K392" s="401"/>
    </row>
    <row r="393" spans="1:12" s="192" customFormat="1" ht="54.4" customHeight="1" x14ac:dyDescent="0.25">
      <c r="A393" s="31" t="s">
        <v>1583</v>
      </c>
      <c r="B393" s="390">
        <v>903</v>
      </c>
      <c r="C393" s="392" t="s">
        <v>264</v>
      </c>
      <c r="D393" s="392" t="s">
        <v>219</v>
      </c>
      <c r="E393" s="392" t="s">
        <v>1582</v>
      </c>
      <c r="F393" s="392"/>
      <c r="G393" s="397">
        <f>G394</f>
        <v>315</v>
      </c>
      <c r="H393" s="397">
        <f t="shared" si="192"/>
        <v>315</v>
      </c>
      <c r="I393" s="397">
        <f t="shared" si="163"/>
        <v>100</v>
      </c>
      <c r="J393" s="413"/>
      <c r="K393" s="401"/>
    </row>
    <row r="394" spans="1:12" s="192" customFormat="1" ht="35.450000000000003" customHeight="1" x14ac:dyDescent="0.25">
      <c r="A394" s="396" t="s">
        <v>131</v>
      </c>
      <c r="B394" s="390">
        <v>903</v>
      </c>
      <c r="C394" s="392" t="s">
        <v>264</v>
      </c>
      <c r="D394" s="392" t="s">
        <v>219</v>
      </c>
      <c r="E394" s="392" t="s">
        <v>1582</v>
      </c>
      <c r="F394" s="392" t="s">
        <v>132</v>
      </c>
      <c r="G394" s="397">
        <f>G395</f>
        <v>315</v>
      </c>
      <c r="H394" s="397">
        <f t="shared" si="192"/>
        <v>315</v>
      </c>
      <c r="I394" s="397">
        <f t="shared" ref="I394:I457" si="193">H394/G394*100</f>
        <v>100</v>
      </c>
      <c r="J394" s="413"/>
      <c r="K394" s="401"/>
    </row>
    <row r="395" spans="1:12" s="192" customFormat="1" ht="35.450000000000003" customHeight="1" x14ac:dyDescent="0.25">
      <c r="A395" s="396" t="s">
        <v>133</v>
      </c>
      <c r="B395" s="390">
        <v>903</v>
      </c>
      <c r="C395" s="392" t="s">
        <v>264</v>
      </c>
      <c r="D395" s="392" t="s">
        <v>219</v>
      </c>
      <c r="E395" s="392" t="s">
        <v>1582</v>
      </c>
      <c r="F395" s="392" t="s">
        <v>134</v>
      </c>
      <c r="G395" s="397">
        <v>315</v>
      </c>
      <c r="H395" s="397">
        <v>315</v>
      </c>
      <c r="I395" s="397">
        <f t="shared" si="193"/>
        <v>100</v>
      </c>
      <c r="J395" s="413"/>
      <c r="K395" s="401"/>
    </row>
    <row r="396" spans="1:12" ht="15.75" x14ac:dyDescent="0.25">
      <c r="A396" s="394" t="s">
        <v>298</v>
      </c>
      <c r="B396" s="391">
        <v>903</v>
      </c>
      <c r="C396" s="395" t="s">
        <v>299</v>
      </c>
      <c r="D396" s="395"/>
      <c r="E396" s="395"/>
      <c r="F396" s="395"/>
      <c r="G396" s="393">
        <f>G397+G457</f>
        <v>85236.564099999989</v>
      </c>
      <c r="H396" s="393">
        <f t="shared" ref="H396" si="194">H397+H457</f>
        <v>84257.577000000005</v>
      </c>
      <c r="I396" s="393">
        <f t="shared" si="193"/>
        <v>98.851447016504054</v>
      </c>
      <c r="J396" s="413"/>
      <c r="K396" s="401"/>
      <c r="L396" s="192"/>
    </row>
    <row r="397" spans="1:12" ht="15.75" x14ac:dyDescent="0.25">
      <c r="A397" s="394" t="s">
        <v>300</v>
      </c>
      <c r="B397" s="391">
        <v>903</v>
      </c>
      <c r="C397" s="395" t="s">
        <v>299</v>
      </c>
      <c r="D397" s="395" t="s">
        <v>118</v>
      </c>
      <c r="E397" s="395"/>
      <c r="F397" s="395"/>
      <c r="G397" s="393">
        <f>G398+G452+G447</f>
        <v>64414.369999999995</v>
      </c>
      <c r="H397" s="393">
        <f t="shared" ref="H397" si="195">H398+H452+H447</f>
        <v>63487.312000000005</v>
      </c>
      <c r="I397" s="393">
        <f t="shared" si="193"/>
        <v>98.560790084572758</v>
      </c>
      <c r="J397" s="413"/>
      <c r="K397" s="401"/>
      <c r="L397" s="192"/>
    </row>
    <row r="398" spans="1:12" ht="35.450000000000003" customHeight="1" x14ac:dyDescent="0.25">
      <c r="A398" s="394" t="s">
        <v>1350</v>
      </c>
      <c r="B398" s="391">
        <v>903</v>
      </c>
      <c r="C398" s="395" t="s">
        <v>299</v>
      </c>
      <c r="D398" s="395" t="s">
        <v>118</v>
      </c>
      <c r="E398" s="395" t="s">
        <v>267</v>
      </c>
      <c r="F398" s="395"/>
      <c r="G398" s="393">
        <f>G399+G410+G416+G420+G427+G431+G439+G443</f>
        <v>63518.369999999995</v>
      </c>
      <c r="H398" s="393">
        <f t="shared" ref="H398" si="196">H399+H410+H416+H420+H427+H431+H439+H443</f>
        <v>62591.527000000002</v>
      </c>
      <c r="I398" s="393">
        <f t="shared" si="193"/>
        <v>98.540826850563079</v>
      </c>
      <c r="J398" s="413"/>
      <c r="K398" s="401"/>
      <c r="L398" s="192"/>
    </row>
    <row r="399" spans="1:12" s="192" customFormat="1" ht="30.2" customHeight="1" x14ac:dyDescent="0.25">
      <c r="A399" s="394" t="s">
        <v>1297</v>
      </c>
      <c r="B399" s="391">
        <v>903</v>
      </c>
      <c r="C399" s="395" t="s">
        <v>299</v>
      </c>
      <c r="D399" s="395" t="s">
        <v>118</v>
      </c>
      <c r="E399" s="395" t="s">
        <v>1201</v>
      </c>
      <c r="F399" s="395"/>
      <c r="G399" s="393">
        <f>G400+G407</f>
        <v>49138.27</v>
      </c>
      <c r="H399" s="393">
        <f t="shared" ref="H399" si="197">H400+H407</f>
        <v>48572.526000000005</v>
      </c>
      <c r="I399" s="393">
        <f t="shared" si="193"/>
        <v>98.848669275495467</v>
      </c>
      <c r="J399" s="413"/>
      <c r="K399" s="401"/>
    </row>
    <row r="400" spans="1:12" s="192" customFormat="1" ht="17.45" customHeight="1" x14ac:dyDescent="0.25">
      <c r="A400" s="396" t="s">
        <v>800</v>
      </c>
      <c r="B400" s="390">
        <v>903</v>
      </c>
      <c r="C400" s="392" t="s">
        <v>299</v>
      </c>
      <c r="D400" s="392" t="s">
        <v>118</v>
      </c>
      <c r="E400" s="392" t="s">
        <v>1202</v>
      </c>
      <c r="F400" s="392"/>
      <c r="G400" s="397">
        <f>G401+G403+G405</f>
        <v>13252.969999999996</v>
      </c>
      <c r="H400" s="397">
        <f t="shared" ref="H400" si="198">H401+H403+H405</f>
        <v>13180.616</v>
      </c>
      <c r="I400" s="397">
        <f t="shared" si="193"/>
        <v>99.454054449681877</v>
      </c>
      <c r="J400" s="413"/>
      <c r="K400" s="401"/>
    </row>
    <row r="401" spans="1:13" s="192" customFormat="1" ht="46.5" customHeight="1" x14ac:dyDescent="0.25">
      <c r="A401" s="396" t="s">
        <v>127</v>
      </c>
      <c r="B401" s="390">
        <v>903</v>
      </c>
      <c r="C401" s="392" t="s">
        <v>299</v>
      </c>
      <c r="D401" s="392" t="s">
        <v>118</v>
      </c>
      <c r="E401" s="392" t="s">
        <v>1202</v>
      </c>
      <c r="F401" s="392" t="s">
        <v>128</v>
      </c>
      <c r="G401" s="397">
        <f>G402</f>
        <v>2811.87</v>
      </c>
      <c r="H401" s="397">
        <f t="shared" ref="H401" si="199">H402</f>
        <v>2785.991</v>
      </c>
      <c r="I401" s="397">
        <f t="shared" si="193"/>
        <v>99.079651619740602</v>
      </c>
      <c r="J401" s="413"/>
      <c r="K401" s="401"/>
    </row>
    <row r="402" spans="1:13" s="192" customFormat="1" ht="21.75" customHeight="1" x14ac:dyDescent="0.25">
      <c r="A402" s="396" t="s">
        <v>208</v>
      </c>
      <c r="B402" s="390">
        <v>903</v>
      </c>
      <c r="C402" s="392" t="s">
        <v>299</v>
      </c>
      <c r="D402" s="392" t="s">
        <v>118</v>
      </c>
      <c r="E402" s="392" t="s">
        <v>1202</v>
      </c>
      <c r="F402" s="392" t="s">
        <v>209</v>
      </c>
      <c r="G402" s="27">
        <f>2223.47+26.3+6.4+1.7+8.1+14.2+6-5.1+200+7.2+86.4+25.6+40.9+33.5+100+42.1+0.1+8.3-4-10.1+5.9-30.1+15.4+19.4-9.8</f>
        <v>2811.87</v>
      </c>
      <c r="H402" s="27">
        <v>2785.991</v>
      </c>
      <c r="I402" s="397">
        <f t="shared" si="193"/>
        <v>99.079651619740602</v>
      </c>
      <c r="J402" s="413"/>
      <c r="K402" s="413"/>
    </row>
    <row r="403" spans="1:13" s="192" customFormat="1" ht="36.75" customHeight="1" x14ac:dyDescent="0.25">
      <c r="A403" s="396" t="s">
        <v>131</v>
      </c>
      <c r="B403" s="390">
        <v>903</v>
      </c>
      <c r="C403" s="392" t="s">
        <v>299</v>
      </c>
      <c r="D403" s="392" t="s">
        <v>118</v>
      </c>
      <c r="E403" s="392" t="s">
        <v>1202</v>
      </c>
      <c r="F403" s="392" t="s">
        <v>132</v>
      </c>
      <c r="G403" s="397">
        <f>G404</f>
        <v>10301.199999999997</v>
      </c>
      <c r="H403" s="397">
        <f t="shared" ref="H403" si="200">H404</f>
        <v>10254.966</v>
      </c>
      <c r="I403" s="397">
        <f t="shared" si="193"/>
        <v>99.551178503475356</v>
      </c>
      <c r="J403" s="413"/>
      <c r="K403" s="401"/>
    </row>
    <row r="404" spans="1:13" s="192" customFormat="1" ht="33" customHeight="1" x14ac:dyDescent="0.25">
      <c r="A404" s="396" t="s">
        <v>133</v>
      </c>
      <c r="B404" s="390">
        <v>903</v>
      </c>
      <c r="C404" s="392" t="s">
        <v>299</v>
      </c>
      <c r="D404" s="392" t="s">
        <v>118</v>
      </c>
      <c r="E404" s="392" t="s">
        <v>1202</v>
      </c>
      <c r="F404" s="392" t="s">
        <v>134</v>
      </c>
      <c r="G404" s="27">
        <f>8975.9-469.7+394.1-50+150-50-100+196.6-69.2-50+20+114+35.8+107.4-150.7+150+0.5-93+30+4+89+46.7+46.7-84.4+31.9+50.4-4.2-11.7+6.6+3639.43+20.1-4.7+11.1+162.2+90.1-3639.43+44.6+65.4+203.3-150-0.7-68.2+42.5+62.4+14.7+94.6+173.7+33.4-37.2+154.2+70.3+2.7</f>
        <v>10301.199999999997</v>
      </c>
      <c r="H404" s="27">
        <v>10254.966</v>
      </c>
      <c r="I404" s="397">
        <f t="shared" si="193"/>
        <v>99.551178503475356</v>
      </c>
      <c r="J404" s="413"/>
      <c r="K404" s="401"/>
      <c r="L404" s="376"/>
      <c r="M404" s="424"/>
    </row>
    <row r="405" spans="1:13" s="192" customFormat="1" ht="18" customHeight="1" x14ac:dyDescent="0.25">
      <c r="A405" s="396" t="s">
        <v>135</v>
      </c>
      <c r="B405" s="390">
        <v>903</v>
      </c>
      <c r="C405" s="392" t="s">
        <v>299</v>
      </c>
      <c r="D405" s="392" t="s">
        <v>118</v>
      </c>
      <c r="E405" s="392" t="s">
        <v>1202</v>
      </c>
      <c r="F405" s="392" t="s">
        <v>145</v>
      </c>
      <c r="G405" s="397">
        <f>G406</f>
        <v>139.9</v>
      </c>
      <c r="H405" s="397">
        <f t="shared" ref="H405" si="201">H406</f>
        <v>139.65899999999999</v>
      </c>
      <c r="I405" s="397">
        <f t="shared" si="193"/>
        <v>99.827734095782688</v>
      </c>
      <c r="J405" s="413"/>
      <c r="K405" s="401"/>
    </row>
    <row r="406" spans="1:13" s="192" customFormat="1" ht="16.5" customHeight="1" x14ac:dyDescent="0.25">
      <c r="A406" s="396" t="s">
        <v>568</v>
      </c>
      <c r="B406" s="390">
        <v>903</v>
      </c>
      <c r="C406" s="392" t="s">
        <v>299</v>
      </c>
      <c r="D406" s="392" t="s">
        <v>118</v>
      </c>
      <c r="E406" s="392" t="s">
        <v>1202</v>
      </c>
      <c r="F406" s="392" t="s">
        <v>138</v>
      </c>
      <c r="G406" s="397">
        <f>37+26+11.2+43.7+13.4+4.2+15-24.7+6.2+2.3+5.6</f>
        <v>139.9</v>
      </c>
      <c r="H406" s="397">
        <v>139.65899999999999</v>
      </c>
      <c r="I406" s="397">
        <f t="shared" si="193"/>
        <v>99.827734095782688</v>
      </c>
      <c r="J406" s="413"/>
      <c r="K406" s="413"/>
    </row>
    <row r="407" spans="1:13" s="192" customFormat="1" ht="21.75" customHeight="1" x14ac:dyDescent="0.25">
      <c r="A407" s="31" t="s">
        <v>1490</v>
      </c>
      <c r="B407" s="390">
        <v>903</v>
      </c>
      <c r="C407" s="392" t="s">
        <v>299</v>
      </c>
      <c r="D407" s="392" t="s">
        <v>118</v>
      </c>
      <c r="E407" s="392" t="s">
        <v>1462</v>
      </c>
      <c r="F407" s="392"/>
      <c r="G407" s="397">
        <f>G408</f>
        <v>35885.300000000003</v>
      </c>
      <c r="H407" s="397">
        <f t="shared" ref="H407:H408" si="202">H408</f>
        <v>35391.910000000003</v>
      </c>
      <c r="I407" s="397">
        <f t="shared" si="193"/>
        <v>98.625091611328315</v>
      </c>
      <c r="J407" s="413"/>
      <c r="K407" s="401"/>
    </row>
    <row r="408" spans="1:13" s="192" customFormat="1" ht="60.4" customHeight="1" x14ac:dyDescent="0.25">
      <c r="A408" s="396" t="s">
        <v>127</v>
      </c>
      <c r="B408" s="390">
        <v>903</v>
      </c>
      <c r="C408" s="392" t="s">
        <v>299</v>
      </c>
      <c r="D408" s="392" t="s">
        <v>118</v>
      </c>
      <c r="E408" s="392" t="s">
        <v>1462</v>
      </c>
      <c r="F408" s="392" t="s">
        <v>128</v>
      </c>
      <c r="G408" s="397">
        <f>G409</f>
        <v>35885.300000000003</v>
      </c>
      <c r="H408" s="397">
        <f t="shared" si="202"/>
        <v>35391.910000000003</v>
      </c>
      <c r="I408" s="397">
        <f t="shared" si="193"/>
        <v>98.625091611328315</v>
      </c>
      <c r="J408" s="413"/>
      <c r="K408" s="401"/>
    </row>
    <row r="409" spans="1:13" s="192" customFormat="1" ht="17.100000000000001" customHeight="1" x14ac:dyDescent="0.25">
      <c r="A409" s="396" t="s">
        <v>208</v>
      </c>
      <c r="B409" s="390">
        <v>903</v>
      </c>
      <c r="C409" s="392" t="s">
        <v>299</v>
      </c>
      <c r="D409" s="392" t="s">
        <v>118</v>
      </c>
      <c r="E409" s="392" t="s">
        <v>1462</v>
      </c>
      <c r="F409" s="392" t="s">
        <v>209</v>
      </c>
      <c r="G409" s="397">
        <f>37672.51+3375.3+960.09-96.6-100-40-600-352.2-2948.3-1120.6-864.9</f>
        <v>35885.300000000003</v>
      </c>
      <c r="H409" s="397">
        <v>35391.910000000003</v>
      </c>
      <c r="I409" s="397">
        <f t="shared" si="193"/>
        <v>98.625091611328315</v>
      </c>
      <c r="J409" s="413"/>
      <c r="K409" s="401"/>
    </row>
    <row r="410" spans="1:13" s="192" customFormat="1" ht="35.450000000000003" customHeight="1" x14ac:dyDescent="0.25">
      <c r="A410" s="201" t="s">
        <v>1299</v>
      </c>
      <c r="B410" s="391">
        <v>903</v>
      </c>
      <c r="C410" s="395" t="s">
        <v>299</v>
      </c>
      <c r="D410" s="395" t="s">
        <v>118</v>
      </c>
      <c r="E410" s="395" t="s">
        <v>1203</v>
      </c>
      <c r="F410" s="395"/>
      <c r="G410" s="393">
        <f>G411</f>
        <v>864.40000000000009</v>
      </c>
      <c r="H410" s="393">
        <f t="shared" ref="H410" si="203">H411</f>
        <v>864.25600000000009</v>
      </c>
      <c r="I410" s="393">
        <f t="shared" si="193"/>
        <v>99.983341045812125</v>
      </c>
      <c r="J410" s="413"/>
      <c r="K410" s="401"/>
    </row>
    <row r="411" spans="1:13" ht="35.450000000000003" customHeight="1" x14ac:dyDescent="0.25">
      <c r="A411" s="31" t="s">
        <v>815</v>
      </c>
      <c r="B411" s="390">
        <v>903</v>
      </c>
      <c r="C411" s="392" t="s">
        <v>299</v>
      </c>
      <c r="D411" s="392" t="s">
        <v>118</v>
      </c>
      <c r="E411" s="392" t="s">
        <v>1205</v>
      </c>
      <c r="F411" s="392"/>
      <c r="G411" s="27">
        <f>G414+G412</f>
        <v>864.40000000000009</v>
      </c>
      <c r="H411" s="27">
        <f t="shared" ref="H411" si="204">H414+H412</f>
        <v>864.25600000000009</v>
      </c>
      <c r="I411" s="397">
        <f t="shared" si="193"/>
        <v>99.983341045812125</v>
      </c>
      <c r="J411" s="413"/>
      <c r="K411" s="401"/>
      <c r="L411" s="192"/>
    </row>
    <row r="412" spans="1:13" ht="66.2" customHeight="1" x14ac:dyDescent="0.25">
      <c r="A412" s="396" t="s">
        <v>127</v>
      </c>
      <c r="B412" s="390">
        <v>903</v>
      </c>
      <c r="C412" s="392" t="s">
        <v>299</v>
      </c>
      <c r="D412" s="392" t="s">
        <v>118</v>
      </c>
      <c r="E412" s="392" t="s">
        <v>1205</v>
      </c>
      <c r="F412" s="392" t="s">
        <v>128</v>
      </c>
      <c r="G412" s="27">
        <f>G413</f>
        <v>487.40000000000009</v>
      </c>
      <c r="H412" s="27">
        <f t="shared" ref="H412" si="205">H413</f>
        <v>487.32100000000003</v>
      </c>
      <c r="I412" s="397">
        <f t="shared" si="193"/>
        <v>99.98379154698398</v>
      </c>
      <c r="J412" s="413"/>
      <c r="K412" s="401"/>
      <c r="L412" s="192"/>
    </row>
    <row r="413" spans="1:13" ht="20.25" customHeight="1" x14ac:dyDescent="0.25">
      <c r="A413" s="396" t="s">
        <v>208</v>
      </c>
      <c r="B413" s="390">
        <v>903</v>
      </c>
      <c r="C413" s="392" t="s">
        <v>299</v>
      </c>
      <c r="D413" s="392" t="s">
        <v>118</v>
      </c>
      <c r="E413" s="392" t="s">
        <v>1205</v>
      </c>
      <c r="F413" s="392" t="s">
        <v>209</v>
      </c>
      <c r="G413" s="27">
        <f>603+380-293.4-57.5-88.8-55.9</f>
        <v>487.40000000000009</v>
      </c>
      <c r="H413" s="27">
        <v>487.32100000000003</v>
      </c>
      <c r="I413" s="397">
        <f t="shared" si="193"/>
        <v>99.98379154698398</v>
      </c>
      <c r="J413" s="413"/>
      <c r="K413" s="401"/>
      <c r="L413" s="192"/>
    </row>
    <row r="414" spans="1:13" ht="33.75" customHeight="1" x14ac:dyDescent="0.25">
      <c r="A414" s="396" t="s">
        <v>131</v>
      </c>
      <c r="B414" s="390">
        <v>903</v>
      </c>
      <c r="C414" s="392" t="s">
        <v>299</v>
      </c>
      <c r="D414" s="392" t="s">
        <v>118</v>
      </c>
      <c r="E414" s="392" t="s">
        <v>1205</v>
      </c>
      <c r="F414" s="392" t="s">
        <v>132</v>
      </c>
      <c r="G414" s="27">
        <f>G415</f>
        <v>377</v>
      </c>
      <c r="H414" s="27">
        <f t="shared" ref="H414" si="206">H415</f>
        <v>376.935</v>
      </c>
      <c r="I414" s="397">
        <f t="shared" si="193"/>
        <v>99.982758620689665</v>
      </c>
      <c r="J414" s="413"/>
      <c r="K414" s="401"/>
      <c r="L414" s="192"/>
    </row>
    <row r="415" spans="1:13" ht="36.75" customHeight="1" x14ac:dyDescent="0.25">
      <c r="A415" s="396" t="s">
        <v>133</v>
      </c>
      <c r="B415" s="390">
        <v>903</v>
      </c>
      <c r="C415" s="392" t="s">
        <v>299</v>
      </c>
      <c r="D415" s="392" t="s">
        <v>118</v>
      </c>
      <c r="E415" s="392" t="s">
        <v>1205</v>
      </c>
      <c r="F415" s="392" t="s">
        <v>134</v>
      </c>
      <c r="G415" s="27">
        <f>1180-800-380+88.8+288.2</f>
        <v>377</v>
      </c>
      <c r="H415" s="27">
        <v>376.935</v>
      </c>
      <c r="I415" s="397">
        <f t="shared" si="193"/>
        <v>99.982758620689665</v>
      </c>
      <c r="J415" s="413"/>
      <c r="K415" s="401"/>
      <c r="L415" s="192"/>
    </row>
    <row r="416" spans="1:13" s="192" customFormat="1" ht="36.75" customHeight="1" x14ac:dyDescent="0.25">
      <c r="A416" s="394" t="s">
        <v>946</v>
      </c>
      <c r="B416" s="391">
        <v>903</v>
      </c>
      <c r="C416" s="395" t="s">
        <v>299</v>
      </c>
      <c r="D416" s="395" t="s">
        <v>118</v>
      </c>
      <c r="E416" s="395" t="s">
        <v>1206</v>
      </c>
      <c r="F416" s="395"/>
      <c r="G416" s="44">
        <f>G417</f>
        <v>955.00000000000011</v>
      </c>
      <c r="H416" s="44">
        <f t="shared" ref="H416:H418" si="207">H417</f>
        <v>954.75</v>
      </c>
      <c r="I416" s="393">
        <f t="shared" si="193"/>
        <v>99.973821989528787</v>
      </c>
      <c r="J416" s="413"/>
      <c r="K416" s="401"/>
    </row>
    <row r="417" spans="1:12" s="192" customFormat="1" ht="36.75" customHeight="1" x14ac:dyDescent="0.25">
      <c r="A417" s="396" t="s">
        <v>838</v>
      </c>
      <c r="B417" s="390">
        <v>903</v>
      </c>
      <c r="C417" s="392" t="s">
        <v>299</v>
      </c>
      <c r="D417" s="392" t="s">
        <v>118</v>
      </c>
      <c r="E417" s="392" t="s">
        <v>1207</v>
      </c>
      <c r="F417" s="392"/>
      <c r="G417" s="397">
        <f>G418</f>
        <v>955.00000000000011</v>
      </c>
      <c r="H417" s="397">
        <f t="shared" si="207"/>
        <v>954.75</v>
      </c>
      <c r="I417" s="397">
        <f t="shared" si="193"/>
        <v>99.973821989528787</v>
      </c>
      <c r="J417" s="413"/>
      <c r="K417" s="401"/>
    </row>
    <row r="418" spans="1:12" s="192" customFormat="1" ht="62.45" customHeight="1" x14ac:dyDescent="0.25">
      <c r="A418" s="396" t="s">
        <v>127</v>
      </c>
      <c r="B418" s="390">
        <v>903</v>
      </c>
      <c r="C418" s="392" t="s">
        <v>299</v>
      </c>
      <c r="D418" s="392" t="s">
        <v>118</v>
      </c>
      <c r="E418" s="392" t="s">
        <v>1207</v>
      </c>
      <c r="F418" s="392" t="s">
        <v>128</v>
      </c>
      <c r="G418" s="397">
        <f>G419</f>
        <v>955.00000000000011</v>
      </c>
      <c r="H418" s="397">
        <f t="shared" si="207"/>
        <v>954.75</v>
      </c>
      <c r="I418" s="397">
        <f t="shared" si="193"/>
        <v>99.973821989528787</v>
      </c>
      <c r="J418" s="413"/>
      <c r="K418" s="401"/>
    </row>
    <row r="419" spans="1:12" s="192" customFormat="1" ht="36.75" customHeight="1" x14ac:dyDescent="0.25">
      <c r="A419" s="396" t="s">
        <v>129</v>
      </c>
      <c r="B419" s="390">
        <v>903</v>
      </c>
      <c r="C419" s="392" t="s">
        <v>299</v>
      </c>
      <c r="D419" s="392" t="s">
        <v>118</v>
      </c>
      <c r="E419" s="392" t="s">
        <v>1207</v>
      </c>
      <c r="F419" s="392" t="s">
        <v>209</v>
      </c>
      <c r="G419" s="397">
        <f>875+75.2+95.2-6+4.7+7.7-40.9-51.2-4.5-0.2</f>
        <v>955.00000000000011</v>
      </c>
      <c r="H419" s="397">
        <v>954.75</v>
      </c>
      <c r="I419" s="397">
        <f t="shared" si="193"/>
        <v>99.973821989528787</v>
      </c>
      <c r="J419" s="413"/>
      <c r="K419" s="413"/>
    </row>
    <row r="420" spans="1:12" s="192" customFormat="1" ht="36.75" customHeight="1" x14ac:dyDescent="0.25">
      <c r="A420" s="202" t="s">
        <v>899</v>
      </c>
      <c r="B420" s="391">
        <v>903</v>
      </c>
      <c r="C420" s="395" t="s">
        <v>299</v>
      </c>
      <c r="D420" s="395" t="s">
        <v>118</v>
      </c>
      <c r="E420" s="395" t="s">
        <v>1208</v>
      </c>
      <c r="F420" s="395"/>
      <c r="G420" s="393">
        <f>G421+G424</f>
        <v>2442</v>
      </c>
      <c r="H420" s="393">
        <f t="shared" ref="H420" si="208">H421+H424</f>
        <v>2081.2950000000001</v>
      </c>
      <c r="I420" s="393">
        <f t="shared" si="193"/>
        <v>85.229115479115478</v>
      </c>
      <c r="J420" s="413"/>
      <c r="K420" s="401"/>
    </row>
    <row r="421" spans="1:12" s="192" customFormat="1" ht="87" customHeight="1" x14ac:dyDescent="0.25">
      <c r="A421" s="31" t="s">
        <v>293</v>
      </c>
      <c r="B421" s="390">
        <v>903</v>
      </c>
      <c r="C421" s="392" t="s">
        <v>299</v>
      </c>
      <c r="D421" s="392" t="s">
        <v>118</v>
      </c>
      <c r="E421" s="392" t="s">
        <v>1402</v>
      </c>
      <c r="F421" s="392"/>
      <c r="G421" s="397">
        <f>G422</f>
        <v>2100.6</v>
      </c>
      <c r="H421" s="397">
        <f t="shared" ref="H421:H422" si="209">H422</f>
        <v>1868.6410000000001</v>
      </c>
      <c r="I421" s="397">
        <f t="shared" si="193"/>
        <v>88.957488336665719</v>
      </c>
      <c r="J421" s="413"/>
      <c r="K421" s="401"/>
    </row>
    <row r="422" spans="1:12" s="192" customFormat="1" ht="66.599999999999994" customHeight="1" x14ac:dyDescent="0.25">
      <c r="A422" s="396" t="s">
        <v>127</v>
      </c>
      <c r="B422" s="390">
        <v>903</v>
      </c>
      <c r="C422" s="392" t="s">
        <v>299</v>
      </c>
      <c r="D422" s="392" t="s">
        <v>118</v>
      </c>
      <c r="E422" s="392" t="s">
        <v>1402</v>
      </c>
      <c r="F422" s="392" t="s">
        <v>128</v>
      </c>
      <c r="G422" s="397">
        <f>G423</f>
        <v>2100.6</v>
      </c>
      <c r="H422" s="397">
        <f t="shared" si="209"/>
        <v>1868.6410000000001</v>
      </c>
      <c r="I422" s="397">
        <f t="shared" si="193"/>
        <v>88.957488336665719</v>
      </c>
      <c r="J422" s="413"/>
      <c r="K422" s="401"/>
    </row>
    <row r="423" spans="1:12" s="192" customFormat="1" ht="21.75" customHeight="1" x14ac:dyDescent="0.25">
      <c r="A423" s="396" t="s">
        <v>208</v>
      </c>
      <c r="B423" s="390">
        <v>903</v>
      </c>
      <c r="C423" s="392" t="s">
        <v>299</v>
      </c>
      <c r="D423" s="392" t="s">
        <v>118</v>
      </c>
      <c r="E423" s="392" t="s">
        <v>1402</v>
      </c>
      <c r="F423" s="392" t="s">
        <v>209</v>
      </c>
      <c r="G423" s="397">
        <f>724.29+100+0.01+1276.3</f>
        <v>2100.6</v>
      </c>
      <c r="H423" s="397">
        <v>1868.6410000000001</v>
      </c>
      <c r="I423" s="397">
        <f t="shared" si="193"/>
        <v>88.957488336665719</v>
      </c>
      <c r="J423" s="413"/>
      <c r="K423" s="401"/>
    </row>
    <row r="424" spans="1:12" s="192" customFormat="1" ht="69" customHeight="1" x14ac:dyDescent="0.25">
      <c r="A424" s="396" t="s">
        <v>331</v>
      </c>
      <c r="B424" s="390">
        <v>903</v>
      </c>
      <c r="C424" s="392" t="s">
        <v>299</v>
      </c>
      <c r="D424" s="392" t="s">
        <v>118</v>
      </c>
      <c r="E424" s="392" t="s">
        <v>1289</v>
      </c>
      <c r="F424" s="392"/>
      <c r="G424" s="397">
        <f>G425</f>
        <v>341.4</v>
      </c>
      <c r="H424" s="397">
        <f t="shared" ref="H424:H425" si="210">H425</f>
        <v>212.654</v>
      </c>
      <c r="I424" s="397">
        <f t="shared" si="193"/>
        <v>62.288810779144697</v>
      </c>
      <c r="J424" s="413"/>
      <c r="K424" s="401"/>
    </row>
    <row r="425" spans="1:12" s="192" customFormat="1" ht="72" customHeight="1" x14ac:dyDescent="0.25">
      <c r="A425" s="396" t="s">
        <v>127</v>
      </c>
      <c r="B425" s="390">
        <v>903</v>
      </c>
      <c r="C425" s="392" t="s">
        <v>299</v>
      </c>
      <c r="D425" s="392" t="s">
        <v>118</v>
      </c>
      <c r="E425" s="392" t="s">
        <v>1289</v>
      </c>
      <c r="F425" s="392" t="s">
        <v>128</v>
      </c>
      <c r="G425" s="397">
        <f>G426</f>
        <v>341.4</v>
      </c>
      <c r="H425" s="397">
        <f t="shared" si="210"/>
        <v>212.654</v>
      </c>
      <c r="I425" s="397">
        <f t="shared" si="193"/>
        <v>62.288810779144697</v>
      </c>
      <c r="J425" s="413"/>
      <c r="K425" s="401"/>
    </row>
    <row r="426" spans="1:12" s="192" customFormat="1" ht="19.5" customHeight="1" x14ac:dyDescent="0.25">
      <c r="A426" s="396" t="s">
        <v>208</v>
      </c>
      <c r="B426" s="390">
        <v>903</v>
      </c>
      <c r="C426" s="392" t="s">
        <v>299</v>
      </c>
      <c r="D426" s="392" t="s">
        <v>118</v>
      </c>
      <c r="E426" s="392" t="s">
        <v>1289</v>
      </c>
      <c r="F426" s="392" t="s">
        <v>209</v>
      </c>
      <c r="G426" s="397">
        <v>341.4</v>
      </c>
      <c r="H426" s="397">
        <v>212.654</v>
      </c>
      <c r="I426" s="397">
        <f t="shared" si="193"/>
        <v>62.288810779144697</v>
      </c>
      <c r="J426" s="413"/>
      <c r="K426" s="401"/>
    </row>
    <row r="427" spans="1:12" s="192" customFormat="1" ht="33" customHeight="1" x14ac:dyDescent="0.25">
      <c r="A427" s="394" t="s">
        <v>901</v>
      </c>
      <c r="B427" s="391">
        <v>903</v>
      </c>
      <c r="C427" s="395" t="s">
        <v>299</v>
      </c>
      <c r="D427" s="395" t="s">
        <v>118</v>
      </c>
      <c r="E427" s="395" t="s">
        <v>1213</v>
      </c>
      <c r="F427" s="395"/>
      <c r="G427" s="393">
        <f>G428</f>
        <v>50</v>
      </c>
      <c r="H427" s="393">
        <f t="shared" ref="H427:H429" si="211">H428</f>
        <v>50</v>
      </c>
      <c r="I427" s="393">
        <f t="shared" si="193"/>
        <v>100</v>
      </c>
      <c r="J427" s="413"/>
      <c r="K427" s="401"/>
    </row>
    <row r="428" spans="1:12" s="192" customFormat="1" ht="32.25" customHeight="1" x14ac:dyDescent="0.25">
      <c r="A428" s="396" t="s">
        <v>820</v>
      </c>
      <c r="B428" s="390">
        <v>903</v>
      </c>
      <c r="C428" s="392" t="s">
        <v>299</v>
      </c>
      <c r="D428" s="392" t="s">
        <v>118</v>
      </c>
      <c r="E428" s="392" t="s">
        <v>1214</v>
      </c>
      <c r="F428" s="392"/>
      <c r="G428" s="397">
        <f>G429</f>
        <v>50</v>
      </c>
      <c r="H428" s="397">
        <f t="shared" si="211"/>
        <v>50</v>
      </c>
      <c r="I428" s="397">
        <f t="shared" si="193"/>
        <v>100</v>
      </c>
      <c r="J428" s="413"/>
      <c r="K428" s="401"/>
    </row>
    <row r="429" spans="1:12" s="192" customFormat="1" ht="33.75" customHeight="1" x14ac:dyDescent="0.25">
      <c r="A429" s="396" t="s">
        <v>131</v>
      </c>
      <c r="B429" s="390">
        <v>903</v>
      </c>
      <c r="C429" s="392" t="s">
        <v>299</v>
      </c>
      <c r="D429" s="392" t="s">
        <v>118</v>
      </c>
      <c r="E429" s="392" t="s">
        <v>1214</v>
      </c>
      <c r="F429" s="392" t="s">
        <v>132</v>
      </c>
      <c r="G429" s="397">
        <f>G430</f>
        <v>50</v>
      </c>
      <c r="H429" s="397">
        <f t="shared" si="211"/>
        <v>50</v>
      </c>
      <c r="I429" s="397">
        <f t="shared" si="193"/>
        <v>100</v>
      </c>
      <c r="J429" s="413"/>
      <c r="K429" s="401"/>
    </row>
    <row r="430" spans="1:12" s="192" customFormat="1" ht="31.7" customHeight="1" x14ac:dyDescent="0.25">
      <c r="A430" s="396" t="s">
        <v>133</v>
      </c>
      <c r="B430" s="390">
        <v>903</v>
      </c>
      <c r="C430" s="392" t="s">
        <v>299</v>
      </c>
      <c r="D430" s="392" t="s">
        <v>118</v>
      </c>
      <c r="E430" s="392" t="s">
        <v>1214</v>
      </c>
      <c r="F430" s="392" t="s">
        <v>134</v>
      </c>
      <c r="G430" s="397">
        <v>50</v>
      </c>
      <c r="H430" s="397">
        <v>50</v>
      </c>
      <c r="I430" s="397">
        <f t="shared" si="193"/>
        <v>100</v>
      </c>
      <c r="J430" s="413"/>
      <c r="K430" s="401"/>
    </row>
    <row r="431" spans="1:12" s="192" customFormat="1" ht="21.2" customHeight="1" x14ac:dyDescent="0.25">
      <c r="A431" s="394" t="s">
        <v>1009</v>
      </c>
      <c r="B431" s="391">
        <v>903</v>
      </c>
      <c r="C431" s="395" t="s">
        <v>299</v>
      </c>
      <c r="D431" s="395" t="s">
        <v>118</v>
      </c>
      <c r="E431" s="395" t="s">
        <v>1215</v>
      </c>
      <c r="F431" s="395"/>
      <c r="G431" s="393">
        <f>G432</f>
        <v>68.7</v>
      </c>
      <c r="H431" s="393">
        <f t="shared" ref="H431:H433" si="212">H432</f>
        <v>68.7</v>
      </c>
      <c r="I431" s="393">
        <f t="shared" si="193"/>
        <v>100</v>
      </c>
      <c r="J431" s="413"/>
      <c r="K431" s="401"/>
    </row>
    <row r="432" spans="1:12" ht="31.5" x14ac:dyDescent="0.25">
      <c r="A432" s="396" t="s">
        <v>1465</v>
      </c>
      <c r="B432" s="390">
        <v>903</v>
      </c>
      <c r="C432" s="392" t="s">
        <v>299</v>
      </c>
      <c r="D432" s="392" t="s">
        <v>118</v>
      </c>
      <c r="E432" s="392" t="s">
        <v>1216</v>
      </c>
      <c r="F432" s="392"/>
      <c r="G432" s="397">
        <f>G433</f>
        <v>68.7</v>
      </c>
      <c r="H432" s="397">
        <f t="shared" si="212"/>
        <v>68.7</v>
      </c>
      <c r="I432" s="397">
        <f t="shared" si="193"/>
        <v>100</v>
      </c>
      <c r="J432" s="413"/>
      <c r="K432" s="401"/>
      <c r="L432" s="192"/>
    </row>
    <row r="433" spans="1:12" ht="31.5" x14ac:dyDescent="0.25">
      <c r="A433" s="396" t="s">
        <v>131</v>
      </c>
      <c r="B433" s="390">
        <v>903</v>
      </c>
      <c r="C433" s="392" t="s">
        <v>299</v>
      </c>
      <c r="D433" s="392" t="s">
        <v>118</v>
      </c>
      <c r="E433" s="392" t="s">
        <v>1216</v>
      </c>
      <c r="F433" s="392" t="s">
        <v>132</v>
      </c>
      <c r="G433" s="397">
        <f>G434</f>
        <v>68.7</v>
      </c>
      <c r="H433" s="397">
        <f t="shared" si="212"/>
        <v>68.7</v>
      </c>
      <c r="I433" s="397">
        <f t="shared" si="193"/>
        <v>100</v>
      </c>
      <c r="J433" s="413"/>
      <c r="K433" s="401"/>
      <c r="L433" s="192"/>
    </row>
    <row r="434" spans="1:12" ht="31.5" x14ac:dyDescent="0.25">
      <c r="A434" s="396" t="s">
        <v>133</v>
      </c>
      <c r="B434" s="390">
        <v>903</v>
      </c>
      <c r="C434" s="392" t="s">
        <v>299</v>
      </c>
      <c r="D434" s="392" t="s">
        <v>118</v>
      </c>
      <c r="E434" s="392" t="s">
        <v>1216</v>
      </c>
      <c r="F434" s="392" t="s">
        <v>134</v>
      </c>
      <c r="G434" s="397">
        <f>3.5+65.2</f>
        <v>68.7</v>
      </c>
      <c r="H434" s="397">
        <v>68.7</v>
      </c>
      <c r="I434" s="397">
        <f t="shared" si="193"/>
        <v>100</v>
      </c>
      <c r="J434" s="413"/>
      <c r="K434" s="401"/>
      <c r="L434" s="192"/>
    </row>
    <row r="435" spans="1:12" s="192" customFormat="1" ht="31.5" hidden="1" x14ac:dyDescent="0.25">
      <c r="A435" s="34" t="s">
        <v>1566</v>
      </c>
      <c r="B435" s="391">
        <v>903</v>
      </c>
      <c r="C435" s="395" t="s">
        <v>299</v>
      </c>
      <c r="D435" s="395" t="s">
        <v>118</v>
      </c>
      <c r="E435" s="395" t="s">
        <v>1568</v>
      </c>
      <c r="F435" s="395"/>
      <c r="G435" s="393">
        <f>G436</f>
        <v>0</v>
      </c>
      <c r="H435" s="393">
        <f t="shared" ref="H435:H437" si="213">H436</f>
        <v>0</v>
      </c>
      <c r="I435" s="397" t="e">
        <f t="shared" si="193"/>
        <v>#DIV/0!</v>
      </c>
      <c r="J435" s="413"/>
      <c r="K435" s="401"/>
    </row>
    <row r="436" spans="1:12" s="192" customFormat="1" ht="47.25" hidden="1" x14ac:dyDescent="0.25">
      <c r="A436" s="31" t="s">
        <v>1567</v>
      </c>
      <c r="B436" s="390">
        <v>903</v>
      </c>
      <c r="C436" s="392" t="s">
        <v>299</v>
      </c>
      <c r="D436" s="392" t="s">
        <v>118</v>
      </c>
      <c r="E436" s="392" t="s">
        <v>1569</v>
      </c>
      <c r="F436" s="392"/>
      <c r="G436" s="397">
        <f>G437</f>
        <v>0</v>
      </c>
      <c r="H436" s="397">
        <f t="shared" si="213"/>
        <v>0</v>
      </c>
      <c r="I436" s="397" t="e">
        <f t="shared" si="193"/>
        <v>#DIV/0!</v>
      </c>
      <c r="J436" s="413"/>
      <c r="K436" s="401"/>
    </row>
    <row r="437" spans="1:12" s="192" customFormat="1" ht="31.5" hidden="1" x14ac:dyDescent="0.25">
      <c r="A437" s="396" t="s">
        <v>131</v>
      </c>
      <c r="B437" s="390">
        <v>903</v>
      </c>
      <c r="C437" s="392" t="s">
        <v>299</v>
      </c>
      <c r="D437" s="392" t="s">
        <v>118</v>
      </c>
      <c r="E437" s="392" t="s">
        <v>1569</v>
      </c>
      <c r="F437" s="392" t="s">
        <v>132</v>
      </c>
      <c r="G437" s="397">
        <f>G438</f>
        <v>0</v>
      </c>
      <c r="H437" s="397">
        <f t="shared" si="213"/>
        <v>0</v>
      </c>
      <c r="I437" s="397" t="e">
        <f t="shared" si="193"/>
        <v>#DIV/0!</v>
      </c>
      <c r="J437" s="413"/>
      <c r="K437" s="401"/>
    </row>
    <row r="438" spans="1:12" s="192" customFormat="1" ht="31.5" hidden="1" x14ac:dyDescent="0.25">
      <c r="A438" s="396" t="s">
        <v>133</v>
      </c>
      <c r="B438" s="390">
        <v>903</v>
      </c>
      <c r="C438" s="392" t="s">
        <v>299</v>
      </c>
      <c r="D438" s="392" t="s">
        <v>118</v>
      </c>
      <c r="E438" s="392" t="s">
        <v>1569</v>
      </c>
      <c r="F438" s="392" t="s">
        <v>134</v>
      </c>
      <c r="G438" s="397">
        <f>1500-1500</f>
        <v>0</v>
      </c>
      <c r="H438" s="397">
        <f t="shared" ref="H438" si="214">1500-1500</f>
        <v>0</v>
      </c>
      <c r="I438" s="397" t="e">
        <f t="shared" si="193"/>
        <v>#DIV/0!</v>
      </c>
      <c r="J438" s="413"/>
      <c r="K438" s="401"/>
    </row>
    <row r="439" spans="1:12" s="192" customFormat="1" ht="31.5" hidden="1" x14ac:dyDescent="0.25">
      <c r="A439" s="195" t="s">
        <v>1177</v>
      </c>
      <c r="B439" s="391">
        <v>903</v>
      </c>
      <c r="C439" s="395" t="s">
        <v>299</v>
      </c>
      <c r="D439" s="395" t="s">
        <v>118</v>
      </c>
      <c r="E439" s="395" t="s">
        <v>1211</v>
      </c>
      <c r="F439" s="395"/>
      <c r="G439" s="393">
        <f>G440</f>
        <v>0</v>
      </c>
      <c r="H439" s="393">
        <f t="shared" ref="H439:H441" si="215">H440</f>
        <v>0</v>
      </c>
      <c r="I439" s="397" t="e">
        <f t="shared" si="193"/>
        <v>#DIV/0!</v>
      </c>
      <c r="J439" s="413"/>
      <c r="K439" s="401"/>
    </row>
    <row r="440" spans="1:12" s="192" customFormat="1" ht="15.75" hidden="1" x14ac:dyDescent="0.25">
      <c r="A440" s="98" t="s">
        <v>1184</v>
      </c>
      <c r="B440" s="390">
        <v>903</v>
      </c>
      <c r="C440" s="392" t="s">
        <v>299</v>
      </c>
      <c r="D440" s="392" t="s">
        <v>118</v>
      </c>
      <c r="E440" s="392" t="s">
        <v>1212</v>
      </c>
      <c r="F440" s="392"/>
      <c r="G440" s="397">
        <f>G441</f>
        <v>0</v>
      </c>
      <c r="H440" s="397">
        <f t="shared" si="215"/>
        <v>0</v>
      </c>
      <c r="I440" s="397" t="e">
        <f t="shared" si="193"/>
        <v>#DIV/0!</v>
      </c>
      <c r="J440" s="413"/>
      <c r="K440" s="401"/>
    </row>
    <row r="441" spans="1:12" s="192" customFormat="1" ht="31.5" hidden="1" x14ac:dyDescent="0.25">
      <c r="A441" s="396" t="s">
        <v>131</v>
      </c>
      <c r="B441" s="390">
        <v>903</v>
      </c>
      <c r="C441" s="392" t="s">
        <v>299</v>
      </c>
      <c r="D441" s="392" t="s">
        <v>118</v>
      </c>
      <c r="E441" s="392" t="s">
        <v>1212</v>
      </c>
      <c r="F441" s="392" t="s">
        <v>132</v>
      </c>
      <c r="G441" s="397">
        <f>G442</f>
        <v>0</v>
      </c>
      <c r="H441" s="397">
        <f t="shared" si="215"/>
        <v>0</v>
      </c>
      <c r="I441" s="397" t="e">
        <f t="shared" si="193"/>
        <v>#DIV/0!</v>
      </c>
      <c r="J441" s="413"/>
      <c r="K441" s="401"/>
    </row>
    <row r="442" spans="1:12" s="192" customFormat="1" ht="31.5" hidden="1" x14ac:dyDescent="0.25">
      <c r="A442" s="396" t="s">
        <v>133</v>
      </c>
      <c r="B442" s="390">
        <v>903</v>
      </c>
      <c r="C442" s="392" t="s">
        <v>299</v>
      </c>
      <c r="D442" s="392" t="s">
        <v>118</v>
      </c>
      <c r="E442" s="392" t="s">
        <v>1212</v>
      </c>
      <c r="F442" s="392" t="s">
        <v>134</v>
      </c>
      <c r="G442" s="397">
        <v>0</v>
      </c>
      <c r="H442" s="397">
        <v>0</v>
      </c>
      <c r="I442" s="397" t="e">
        <f t="shared" si="193"/>
        <v>#DIV/0!</v>
      </c>
      <c r="J442" s="413"/>
      <c r="K442" s="401"/>
    </row>
    <row r="443" spans="1:12" s="192" customFormat="1" ht="33.75" customHeight="1" x14ac:dyDescent="0.25">
      <c r="A443" s="302" t="s">
        <v>1177</v>
      </c>
      <c r="B443" s="391">
        <v>903</v>
      </c>
      <c r="C443" s="395" t="s">
        <v>299</v>
      </c>
      <c r="D443" s="395" t="s">
        <v>118</v>
      </c>
      <c r="E443" s="395" t="s">
        <v>1211</v>
      </c>
      <c r="F443" s="395"/>
      <c r="G443" s="393">
        <f>G444</f>
        <v>10000</v>
      </c>
      <c r="H443" s="393">
        <f t="shared" ref="H443:H445" si="216">H444</f>
        <v>10000</v>
      </c>
      <c r="I443" s="393">
        <f t="shared" si="193"/>
        <v>100</v>
      </c>
      <c r="J443" s="413"/>
      <c r="K443" s="401"/>
    </row>
    <row r="444" spans="1:12" s="193" customFormat="1" ht="31.5" x14ac:dyDescent="0.25">
      <c r="A444" s="463" t="s">
        <v>1652</v>
      </c>
      <c r="B444" s="390">
        <v>903</v>
      </c>
      <c r="C444" s="392" t="s">
        <v>299</v>
      </c>
      <c r="D444" s="392" t="s">
        <v>118</v>
      </c>
      <c r="E444" s="392" t="s">
        <v>1651</v>
      </c>
      <c r="F444" s="392"/>
      <c r="G444" s="397">
        <f>G445</f>
        <v>10000</v>
      </c>
      <c r="H444" s="397">
        <f t="shared" si="216"/>
        <v>10000</v>
      </c>
      <c r="I444" s="397">
        <f t="shared" si="193"/>
        <v>100</v>
      </c>
      <c r="J444" s="416"/>
      <c r="K444" s="127"/>
    </row>
    <row r="445" spans="1:12" s="192" customFormat="1" ht="31.5" x14ac:dyDescent="0.25">
      <c r="A445" s="396" t="s">
        <v>131</v>
      </c>
      <c r="B445" s="390">
        <v>903</v>
      </c>
      <c r="C445" s="392" t="s">
        <v>299</v>
      </c>
      <c r="D445" s="392" t="s">
        <v>118</v>
      </c>
      <c r="E445" s="392" t="s">
        <v>1651</v>
      </c>
      <c r="F445" s="392" t="s">
        <v>132</v>
      </c>
      <c r="G445" s="397">
        <f>G446</f>
        <v>10000</v>
      </c>
      <c r="H445" s="397">
        <f t="shared" si="216"/>
        <v>10000</v>
      </c>
      <c r="I445" s="397">
        <f t="shared" si="193"/>
        <v>100</v>
      </c>
      <c r="J445" s="413"/>
      <c r="K445" s="401"/>
    </row>
    <row r="446" spans="1:12" s="192" customFormat="1" ht="31.5" x14ac:dyDescent="0.25">
      <c r="A446" s="396" t="s">
        <v>133</v>
      </c>
      <c r="B446" s="390">
        <v>903</v>
      </c>
      <c r="C446" s="392" t="s">
        <v>299</v>
      </c>
      <c r="D446" s="392" t="s">
        <v>118</v>
      </c>
      <c r="E446" s="392" t="s">
        <v>1651</v>
      </c>
      <c r="F446" s="392" t="s">
        <v>134</v>
      </c>
      <c r="G446" s="397">
        <v>10000</v>
      </c>
      <c r="H446" s="397">
        <v>10000</v>
      </c>
      <c r="I446" s="397">
        <f t="shared" si="193"/>
        <v>100</v>
      </c>
      <c r="J446" s="413"/>
      <c r="K446" s="401"/>
    </row>
    <row r="447" spans="1:12" ht="47.25" hidden="1" x14ac:dyDescent="0.25">
      <c r="A447" s="34" t="s">
        <v>1432</v>
      </c>
      <c r="B447" s="391">
        <v>903</v>
      </c>
      <c r="C447" s="395" t="s">
        <v>299</v>
      </c>
      <c r="D447" s="395" t="s">
        <v>118</v>
      </c>
      <c r="E447" s="395" t="s">
        <v>324</v>
      </c>
      <c r="F447" s="395"/>
      <c r="G447" s="393">
        <f>G449</f>
        <v>0</v>
      </c>
      <c r="H447" s="393">
        <f t="shared" ref="H447" si="217">H449</f>
        <v>0</v>
      </c>
      <c r="I447" s="397" t="e">
        <f t="shared" si="193"/>
        <v>#DIV/0!</v>
      </c>
      <c r="J447" s="413"/>
      <c r="K447" s="401"/>
      <c r="L447" s="192"/>
    </row>
    <row r="448" spans="1:12" s="192" customFormat="1" ht="47.25" hidden="1" x14ac:dyDescent="0.25">
      <c r="A448" s="34" t="s">
        <v>1024</v>
      </c>
      <c r="B448" s="391">
        <v>903</v>
      </c>
      <c r="C448" s="395" t="s">
        <v>299</v>
      </c>
      <c r="D448" s="395" t="s">
        <v>118</v>
      </c>
      <c r="E448" s="395" t="s">
        <v>933</v>
      </c>
      <c r="F448" s="395"/>
      <c r="G448" s="393">
        <f>G451</f>
        <v>0</v>
      </c>
      <c r="H448" s="393">
        <f t="shared" ref="H448" si="218">H451</f>
        <v>0</v>
      </c>
      <c r="I448" s="397" t="e">
        <f t="shared" si="193"/>
        <v>#DIV/0!</v>
      </c>
      <c r="J448" s="413"/>
      <c r="K448" s="401"/>
    </row>
    <row r="449" spans="1:12" ht="47.25" hidden="1" x14ac:dyDescent="0.25">
      <c r="A449" s="31" t="s">
        <v>1081</v>
      </c>
      <c r="B449" s="390">
        <v>903</v>
      </c>
      <c r="C449" s="392" t="s">
        <v>299</v>
      </c>
      <c r="D449" s="392" t="s">
        <v>118</v>
      </c>
      <c r="E449" s="392" t="s">
        <v>1025</v>
      </c>
      <c r="F449" s="392"/>
      <c r="G449" s="397">
        <f>G450</f>
        <v>0</v>
      </c>
      <c r="H449" s="397">
        <f t="shared" ref="H449:H450" si="219">H450</f>
        <v>0</v>
      </c>
      <c r="I449" s="397" t="e">
        <f t="shared" si="193"/>
        <v>#DIV/0!</v>
      </c>
      <c r="J449" s="413"/>
      <c r="K449" s="401"/>
      <c r="L449" s="192"/>
    </row>
    <row r="450" spans="1:12" ht="31.5" hidden="1" x14ac:dyDescent="0.25">
      <c r="A450" s="396" t="s">
        <v>131</v>
      </c>
      <c r="B450" s="390">
        <v>903</v>
      </c>
      <c r="C450" s="392" t="s">
        <v>299</v>
      </c>
      <c r="D450" s="392" t="s">
        <v>118</v>
      </c>
      <c r="E450" s="392" t="s">
        <v>1025</v>
      </c>
      <c r="F450" s="392" t="s">
        <v>132</v>
      </c>
      <c r="G450" s="397">
        <f>G451</f>
        <v>0</v>
      </c>
      <c r="H450" s="397">
        <f t="shared" si="219"/>
        <v>0</v>
      </c>
      <c r="I450" s="397" t="e">
        <f t="shared" si="193"/>
        <v>#DIV/0!</v>
      </c>
      <c r="J450" s="413"/>
      <c r="K450" s="401"/>
      <c r="L450" s="192"/>
    </row>
    <row r="451" spans="1:12" ht="31.5" hidden="1" x14ac:dyDescent="0.25">
      <c r="A451" s="396" t="s">
        <v>133</v>
      </c>
      <c r="B451" s="390">
        <v>903</v>
      </c>
      <c r="C451" s="392" t="s">
        <v>299</v>
      </c>
      <c r="D451" s="392" t="s">
        <v>118</v>
      </c>
      <c r="E451" s="392" t="s">
        <v>1025</v>
      </c>
      <c r="F451" s="392" t="s">
        <v>134</v>
      </c>
      <c r="G451" s="397">
        <v>0</v>
      </c>
      <c r="H451" s="397">
        <v>0</v>
      </c>
      <c r="I451" s="397" t="e">
        <f t="shared" si="193"/>
        <v>#DIV/0!</v>
      </c>
      <c r="J451" s="413"/>
      <c r="K451" s="401"/>
      <c r="L451" s="192"/>
    </row>
    <row r="452" spans="1:12" ht="47.25" x14ac:dyDescent="0.25">
      <c r="A452" s="400" t="s">
        <v>1340</v>
      </c>
      <c r="B452" s="391">
        <v>903</v>
      </c>
      <c r="C452" s="395" t="s">
        <v>299</v>
      </c>
      <c r="D452" s="395" t="s">
        <v>118</v>
      </c>
      <c r="E452" s="395" t="s">
        <v>705</v>
      </c>
      <c r="F452" s="403"/>
      <c r="G452" s="393">
        <f>G453</f>
        <v>896</v>
      </c>
      <c r="H452" s="393">
        <f t="shared" ref="H452:H455" si="220">H453</f>
        <v>895.78499999999997</v>
      </c>
      <c r="I452" s="393">
        <f t="shared" si="193"/>
        <v>99.976004464285708</v>
      </c>
      <c r="J452" s="413"/>
      <c r="K452" s="401"/>
      <c r="L452" s="192"/>
    </row>
    <row r="453" spans="1:12" s="192" customFormat="1" ht="47.25" x14ac:dyDescent="0.25">
      <c r="A453" s="400" t="s">
        <v>889</v>
      </c>
      <c r="B453" s="391">
        <v>903</v>
      </c>
      <c r="C453" s="395" t="s">
        <v>299</v>
      </c>
      <c r="D453" s="395" t="s">
        <v>118</v>
      </c>
      <c r="E453" s="395" t="s">
        <v>887</v>
      </c>
      <c r="F453" s="403"/>
      <c r="G453" s="393">
        <f>G454</f>
        <v>896</v>
      </c>
      <c r="H453" s="393">
        <f t="shared" si="220"/>
        <v>895.78499999999997</v>
      </c>
      <c r="I453" s="393">
        <f t="shared" si="193"/>
        <v>99.976004464285708</v>
      </c>
      <c r="J453" s="413"/>
      <c r="K453" s="401"/>
    </row>
    <row r="454" spans="1:12" ht="31.5" x14ac:dyDescent="0.25">
      <c r="A454" s="98" t="s">
        <v>1021</v>
      </c>
      <c r="B454" s="390">
        <v>903</v>
      </c>
      <c r="C454" s="392" t="s">
        <v>299</v>
      </c>
      <c r="D454" s="392" t="s">
        <v>118</v>
      </c>
      <c r="E454" s="392" t="s">
        <v>888</v>
      </c>
      <c r="F454" s="398"/>
      <c r="G454" s="397">
        <f>G455</f>
        <v>896</v>
      </c>
      <c r="H454" s="397">
        <f t="shared" si="220"/>
        <v>895.78499999999997</v>
      </c>
      <c r="I454" s="397">
        <f t="shared" si="193"/>
        <v>99.976004464285708</v>
      </c>
      <c r="J454" s="413"/>
      <c r="K454" s="401"/>
      <c r="L454" s="192"/>
    </row>
    <row r="455" spans="1:12" ht="31.5" x14ac:dyDescent="0.25">
      <c r="A455" s="396" t="s">
        <v>131</v>
      </c>
      <c r="B455" s="390">
        <v>903</v>
      </c>
      <c r="C455" s="392" t="s">
        <v>299</v>
      </c>
      <c r="D455" s="392" t="s">
        <v>118</v>
      </c>
      <c r="E455" s="392" t="s">
        <v>888</v>
      </c>
      <c r="F455" s="398" t="s">
        <v>132</v>
      </c>
      <c r="G455" s="397">
        <f>G456</f>
        <v>896</v>
      </c>
      <c r="H455" s="397">
        <f t="shared" si="220"/>
        <v>895.78499999999997</v>
      </c>
      <c r="I455" s="397">
        <f t="shared" si="193"/>
        <v>99.976004464285708</v>
      </c>
      <c r="J455" s="413"/>
      <c r="K455" s="401"/>
      <c r="L455" s="192"/>
    </row>
    <row r="456" spans="1:12" ht="31.5" x14ac:dyDescent="0.25">
      <c r="A456" s="396" t="s">
        <v>133</v>
      </c>
      <c r="B456" s="390">
        <v>903</v>
      </c>
      <c r="C456" s="392" t="s">
        <v>299</v>
      </c>
      <c r="D456" s="392" t="s">
        <v>118</v>
      </c>
      <c r="E456" s="392" t="s">
        <v>888</v>
      </c>
      <c r="F456" s="398" t="s">
        <v>134</v>
      </c>
      <c r="G456" s="397">
        <f>844.9-39.8-34.4+70.4+30.6+24.3</f>
        <v>896</v>
      </c>
      <c r="H456" s="397">
        <v>895.78499999999997</v>
      </c>
      <c r="I456" s="397">
        <f t="shared" si="193"/>
        <v>99.976004464285708</v>
      </c>
      <c r="J456" s="413"/>
      <c r="K456" s="401"/>
      <c r="L456" s="192"/>
    </row>
    <row r="457" spans="1:12" ht="15.75" x14ac:dyDescent="0.25">
      <c r="A457" s="394" t="s">
        <v>333</v>
      </c>
      <c r="B457" s="391">
        <v>903</v>
      </c>
      <c r="C457" s="395" t="s">
        <v>299</v>
      </c>
      <c r="D457" s="395" t="s">
        <v>150</v>
      </c>
      <c r="E457" s="395"/>
      <c r="F457" s="395"/>
      <c r="G457" s="393">
        <f>G458+G471+G492+G498</f>
        <v>20822.194099999997</v>
      </c>
      <c r="H457" s="393">
        <f t="shared" ref="H457" si="221">H458+H471+H492+H498</f>
        <v>20770.264999999999</v>
      </c>
      <c r="I457" s="393">
        <f t="shared" si="193"/>
        <v>99.75060697373867</v>
      </c>
      <c r="J457" s="413"/>
      <c r="K457" s="401"/>
      <c r="L457" s="192"/>
    </row>
    <row r="458" spans="1:12" s="192" customFormat="1" ht="31.5" x14ac:dyDescent="0.25">
      <c r="A458" s="394" t="s">
        <v>916</v>
      </c>
      <c r="B458" s="391">
        <v>903</v>
      </c>
      <c r="C458" s="395" t="s">
        <v>299</v>
      </c>
      <c r="D458" s="395" t="s">
        <v>150</v>
      </c>
      <c r="E458" s="395" t="s">
        <v>857</v>
      </c>
      <c r="F458" s="395"/>
      <c r="G458" s="393">
        <f>G459</f>
        <v>7046.3579999999993</v>
      </c>
      <c r="H458" s="393">
        <f t="shared" ref="H458" si="222">H459</f>
        <v>7042.1809999999996</v>
      </c>
      <c r="I458" s="393">
        <f t="shared" ref="I458:I521" si="223">H458/G458*100</f>
        <v>99.940721149847917</v>
      </c>
      <c r="J458" s="413"/>
      <c r="K458" s="401"/>
    </row>
    <row r="459" spans="1:12" s="192" customFormat="1" ht="15.75" x14ac:dyDescent="0.25">
      <c r="A459" s="394" t="s">
        <v>917</v>
      </c>
      <c r="B459" s="391">
        <v>903</v>
      </c>
      <c r="C459" s="395" t="s">
        <v>299</v>
      </c>
      <c r="D459" s="395" t="s">
        <v>150</v>
      </c>
      <c r="E459" s="395" t="s">
        <v>858</v>
      </c>
      <c r="F459" s="395"/>
      <c r="G459" s="393">
        <f>G460+G465+G468</f>
        <v>7046.3579999999993</v>
      </c>
      <c r="H459" s="393">
        <f t="shared" ref="H459" si="224">H460+H465+H468</f>
        <v>7042.1809999999996</v>
      </c>
      <c r="I459" s="393">
        <f t="shared" si="223"/>
        <v>99.940721149847917</v>
      </c>
      <c r="J459" s="413"/>
      <c r="K459" s="401"/>
    </row>
    <row r="460" spans="1:12" s="192" customFormat="1" ht="31.5" x14ac:dyDescent="0.25">
      <c r="A460" s="396" t="s">
        <v>896</v>
      </c>
      <c r="B460" s="390">
        <v>903</v>
      </c>
      <c r="C460" s="392" t="s">
        <v>299</v>
      </c>
      <c r="D460" s="392" t="s">
        <v>150</v>
      </c>
      <c r="E460" s="392" t="s">
        <v>859</v>
      </c>
      <c r="F460" s="392"/>
      <c r="G460" s="397">
        <f>G461+G463</f>
        <v>6703.5999999999995</v>
      </c>
      <c r="H460" s="397">
        <f t="shared" ref="H460" si="225">H461+H463</f>
        <v>6699.5129999999999</v>
      </c>
      <c r="I460" s="397">
        <f t="shared" si="223"/>
        <v>99.939032758517826</v>
      </c>
      <c r="J460" s="413"/>
      <c r="K460" s="401"/>
    </row>
    <row r="461" spans="1:12" s="192" customFormat="1" ht="63" x14ac:dyDescent="0.25">
      <c r="A461" s="396" t="s">
        <v>127</v>
      </c>
      <c r="B461" s="390">
        <v>903</v>
      </c>
      <c r="C461" s="392" t="s">
        <v>299</v>
      </c>
      <c r="D461" s="392" t="s">
        <v>150</v>
      </c>
      <c r="E461" s="392" t="s">
        <v>859</v>
      </c>
      <c r="F461" s="392" t="s">
        <v>128</v>
      </c>
      <c r="G461" s="397">
        <f>G462</f>
        <v>6703.5999999999995</v>
      </c>
      <c r="H461" s="397">
        <f t="shared" ref="H461" si="226">H462</f>
        <v>6699.5129999999999</v>
      </c>
      <c r="I461" s="397">
        <f t="shared" si="223"/>
        <v>99.939032758517826</v>
      </c>
      <c r="J461" s="413"/>
      <c r="K461" s="401"/>
    </row>
    <row r="462" spans="1:12" s="192" customFormat="1" ht="31.5" x14ac:dyDescent="0.25">
      <c r="A462" s="396" t="s">
        <v>129</v>
      </c>
      <c r="B462" s="390">
        <v>903</v>
      </c>
      <c r="C462" s="392" t="s">
        <v>299</v>
      </c>
      <c r="D462" s="392" t="s">
        <v>150</v>
      </c>
      <c r="E462" s="392" t="s">
        <v>859</v>
      </c>
      <c r="F462" s="392" t="s">
        <v>130</v>
      </c>
      <c r="G462" s="27">
        <f>7015.6-18.8-285+187-33.5+96.7+17.7+2.9-240.6-23.4-15</f>
        <v>6703.5999999999995</v>
      </c>
      <c r="H462" s="27">
        <v>6699.5129999999999</v>
      </c>
      <c r="I462" s="397">
        <f t="shared" si="223"/>
        <v>99.939032758517826</v>
      </c>
      <c r="J462" s="413"/>
      <c r="K462" s="413"/>
    </row>
    <row r="463" spans="1:12" s="192" customFormat="1" ht="31.5" hidden="1" x14ac:dyDescent="0.25">
      <c r="A463" s="396" t="s">
        <v>131</v>
      </c>
      <c r="B463" s="390">
        <v>903</v>
      </c>
      <c r="C463" s="392" t="s">
        <v>299</v>
      </c>
      <c r="D463" s="392" t="s">
        <v>150</v>
      </c>
      <c r="E463" s="392" t="s">
        <v>859</v>
      </c>
      <c r="F463" s="392" t="s">
        <v>132</v>
      </c>
      <c r="G463" s="397">
        <f>G464</f>
        <v>0</v>
      </c>
      <c r="H463" s="397">
        <f t="shared" ref="H463" si="227">H464</f>
        <v>0</v>
      </c>
      <c r="I463" s="397" t="e">
        <f t="shared" si="223"/>
        <v>#DIV/0!</v>
      </c>
      <c r="J463" s="413"/>
      <c r="K463" s="401"/>
    </row>
    <row r="464" spans="1:12" s="192" customFormat="1" ht="31.5" hidden="1" x14ac:dyDescent="0.25">
      <c r="A464" s="396" t="s">
        <v>133</v>
      </c>
      <c r="B464" s="390">
        <v>903</v>
      </c>
      <c r="C464" s="392" t="s">
        <v>299</v>
      </c>
      <c r="D464" s="392" t="s">
        <v>150</v>
      </c>
      <c r="E464" s="392" t="s">
        <v>859</v>
      </c>
      <c r="F464" s="392" t="s">
        <v>134</v>
      </c>
      <c r="G464" s="397">
        <v>0</v>
      </c>
      <c r="H464" s="397">
        <v>0</v>
      </c>
      <c r="I464" s="397" t="e">
        <f t="shared" si="223"/>
        <v>#DIV/0!</v>
      </c>
      <c r="J464" s="413"/>
      <c r="K464" s="401"/>
    </row>
    <row r="465" spans="1:12" s="192" customFormat="1" ht="31.5" x14ac:dyDescent="0.25">
      <c r="A465" s="396" t="s">
        <v>838</v>
      </c>
      <c r="B465" s="390">
        <v>903</v>
      </c>
      <c r="C465" s="392" t="s">
        <v>299</v>
      </c>
      <c r="D465" s="392" t="s">
        <v>150</v>
      </c>
      <c r="E465" s="392" t="s">
        <v>861</v>
      </c>
      <c r="F465" s="392"/>
      <c r="G465" s="397">
        <f>G466</f>
        <v>215.20000000000002</v>
      </c>
      <c r="H465" s="397">
        <f t="shared" ref="H465:H466" si="228">H466</f>
        <v>215.11</v>
      </c>
      <c r="I465" s="397">
        <f t="shared" si="223"/>
        <v>99.958178438661704</v>
      </c>
      <c r="J465" s="413"/>
      <c r="K465" s="401"/>
    </row>
    <row r="466" spans="1:12" s="192" customFormat="1" ht="63" x14ac:dyDescent="0.25">
      <c r="A466" s="396" t="s">
        <v>127</v>
      </c>
      <c r="B466" s="390">
        <v>903</v>
      </c>
      <c r="C466" s="392" t="s">
        <v>299</v>
      </c>
      <c r="D466" s="392" t="s">
        <v>150</v>
      </c>
      <c r="E466" s="392" t="s">
        <v>861</v>
      </c>
      <c r="F466" s="392" t="s">
        <v>128</v>
      </c>
      <c r="G466" s="397">
        <f>G467</f>
        <v>215.20000000000002</v>
      </c>
      <c r="H466" s="397">
        <f t="shared" si="228"/>
        <v>215.11</v>
      </c>
      <c r="I466" s="397">
        <f t="shared" si="223"/>
        <v>99.958178438661704</v>
      </c>
      <c r="J466" s="413"/>
      <c r="K466" s="401"/>
    </row>
    <row r="467" spans="1:12" s="192" customFormat="1" ht="31.5" x14ac:dyDescent="0.25">
      <c r="A467" s="396" t="s">
        <v>129</v>
      </c>
      <c r="B467" s="390">
        <v>903</v>
      </c>
      <c r="C467" s="392" t="s">
        <v>299</v>
      </c>
      <c r="D467" s="392" t="s">
        <v>150</v>
      </c>
      <c r="E467" s="392" t="s">
        <v>861</v>
      </c>
      <c r="F467" s="392" t="s">
        <v>130</v>
      </c>
      <c r="G467" s="397">
        <f>276-33.2-27.6</f>
        <v>215.20000000000002</v>
      </c>
      <c r="H467" s="397">
        <v>215.11</v>
      </c>
      <c r="I467" s="397">
        <f t="shared" si="223"/>
        <v>99.958178438661704</v>
      </c>
      <c r="J467" s="413"/>
      <c r="K467" s="401"/>
    </row>
    <row r="468" spans="1:12" s="192" customFormat="1" ht="31.5" x14ac:dyDescent="0.25">
      <c r="A468" s="396" t="s">
        <v>1677</v>
      </c>
      <c r="B468" s="390">
        <v>903</v>
      </c>
      <c r="C468" s="392" t="s">
        <v>299</v>
      </c>
      <c r="D468" s="392" t="s">
        <v>150</v>
      </c>
      <c r="E468" s="392" t="s">
        <v>1678</v>
      </c>
      <c r="F468" s="392"/>
      <c r="G468" s="397">
        <f>G469</f>
        <v>127.55800000000001</v>
      </c>
      <c r="H468" s="397">
        <f t="shared" ref="H468:H469" si="229">H469</f>
        <v>127.55800000000001</v>
      </c>
      <c r="I468" s="397">
        <f t="shared" si="223"/>
        <v>100</v>
      </c>
      <c r="J468" s="413"/>
      <c r="K468" s="401"/>
    </row>
    <row r="469" spans="1:12" s="192" customFormat="1" ht="63" x14ac:dyDescent="0.25">
      <c r="A469" s="396" t="s">
        <v>127</v>
      </c>
      <c r="B469" s="390">
        <v>903</v>
      </c>
      <c r="C469" s="392" t="s">
        <v>299</v>
      </c>
      <c r="D469" s="392" t="s">
        <v>150</v>
      </c>
      <c r="E469" s="392" t="s">
        <v>1678</v>
      </c>
      <c r="F469" s="392" t="s">
        <v>128</v>
      </c>
      <c r="G469" s="397">
        <f>G470</f>
        <v>127.55800000000001</v>
      </c>
      <c r="H469" s="397">
        <f t="shared" si="229"/>
        <v>127.55800000000001</v>
      </c>
      <c r="I469" s="397">
        <f t="shared" si="223"/>
        <v>100</v>
      </c>
      <c r="J469" s="413"/>
      <c r="K469" s="401"/>
    </row>
    <row r="470" spans="1:12" s="192" customFormat="1" ht="31.5" x14ac:dyDescent="0.25">
      <c r="A470" s="396" t="s">
        <v>129</v>
      </c>
      <c r="B470" s="390">
        <v>903</v>
      </c>
      <c r="C470" s="392" t="s">
        <v>299</v>
      </c>
      <c r="D470" s="392" t="s">
        <v>150</v>
      </c>
      <c r="E470" s="392" t="s">
        <v>1678</v>
      </c>
      <c r="F470" s="392" t="s">
        <v>130</v>
      </c>
      <c r="G470" s="397">
        <v>127.55800000000001</v>
      </c>
      <c r="H470" s="397">
        <v>127.55800000000001</v>
      </c>
      <c r="I470" s="397">
        <f t="shared" si="223"/>
        <v>100</v>
      </c>
      <c r="J470" s="413"/>
      <c r="K470" s="401"/>
    </row>
    <row r="471" spans="1:12" s="192" customFormat="1" ht="15.75" x14ac:dyDescent="0.25">
      <c r="A471" s="394" t="s">
        <v>925</v>
      </c>
      <c r="B471" s="391">
        <v>903</v>
      </c>
      <c r="C471" s="395" t="s">
        <v>299</v>
      </c>
      <c r="D471" s="395" t="s">
        <v>150</v>
      </c>
      <c r="E471" s="395" t="s">
        <v>865</v>
      </c>
      <c r="F471" s="395"/>
      <c r="G471" s="393">
        <f>G476+G472</f>
        <v>13593.836099999999</v>
      </c>
      <c r="H471" s="393">
        <f t="shared" ref="H471" si="230">H476+H472</f>
        <v>13546.114</v>
      </c>
      <c r="I471" s="393">
        <f t="shared" si="223"/>
        <v>99.648943097085024</v>
      </c>
      <c r="J471" s="413"/>
      <c r="K471" s="401"/>
    </row>
    <row r="472" spans="1:12" s="192" customFormat="1" ht="31.5" x14ac:dyDescent="0.25">
      <c r="A472" s="34" t="s">
        <v>869</v>
      </c>
      <c r="B472" s="391">
        <v>903</v>
      </c>
      <c r="C472" s="395" t="s">
        <v>299</v>
      </c>
      <c r="D472" s="395" t="s">
        <v>150</v>
      </c>
      <c r="E472" s="395" t="s">
        <v>864</v>
      </c>
      <c r="F472" s="395"/>
      <c r="G472" s="393">
        <f>G473</f>
        <v>1185</v>
      </c>
      <c r="H472" s="393">
        <f t="shared" ref="H472:H474" si="231">H473</f>
        <v>1185</v>
      </c>
      <c r="I472" s="393">
        <f t="shared" si="223"/>
        <v>100</v>
      </c>
      <c r="J472" s="413"/>
      <c r="K472" s="401"/>
    </row>
    <row r="473" spans="1:12" s="192" customFormat="1" ht="50.25" customHeight="1" x14ac:dyDescent="0.25">
      <c r="A473" s="31" t="s">
        <v>1583</v>
      </c>
      <c r="B473" s="390">
        <v>903</v>
      </c>
      <c r="C473" s="392" t="s">
        <v>299</v>
      </c>
      <c r="D473" s="392" t="s">
        <v>150</v>
      </c>
      <c r="E473" s="392" t="s">
        <v>1582</v>
      </c>
      <c r="F473" s="392"/>
      <c r="G473" s="397">
        <f>G474</f>
        <v>1185</v>
      </c>
      <c r="H473" s="397">
        <f t="shared" si="231"/>
        <v>1185</v>
      </c>
      <c r="I473" s="397">
        <f t="shared" si="223"/>
        <v>100</v>
      </c>
      <c r="J473" s="413"/>
      <c r="K473" s="401"/>
    </row>
    <row r="474" spans="1:12" s="192" customFormat="1" ht="31.5" x14ac:dyDescent="0.25">
      <c r="A474" s="396" t="s">
        <v>131</v>
      </c>
      <c r="B474" s="390">
        <v>903</v>
      </c>
      <c r="C474" s="392" t="s">
        <v>299</v>
      </c>
      <c r="D474" s="392" t="s">
        <v>150</v>
      </c>
      <c r="E474" s="392" t="s">
        <v>1582</v>
      </c>
      <c r="F474" s="392" t="s">
        <v>132</v>
      </c>
      <c r="G474" s="397">
        <f>G475</f>
        <v>1185</v>
      </c>
      <c r="H474" s="397">
        <f t="shared" si="231"/>
        <v>1185</v>
      </c>
      <c r="I474" s="397">
        <f t="shared" si="223"/>
        <v>100</v>
      </c>
      <c r="J474" s="413"/>
      <c r="K474" s="401"/>
    </row>
    <row r="475" spans="1:12" s="192" customFormat="1" ht="31.5" x14ac:dyDescent="0.25">
      <c r="A475" s="396" t="s">
        <v>133</v>
      </c>
      <c r="B475" s="390">
        <v>903</v>
      </c>
      <c r="C475" s="392" t="s">
        <v>299</v>
      </c>
      <c r="D475" s="392" t="s">
        <v>150</v>
      </c>
      <c r="E475" s="392" t="s">
        <v>1582</v>
      </c>
      <c r="F475" s="392" t="s">
        <v>134</v>
      </c>
      <c r="G475" s="397">
        <v>1185</v>
      </c>
      <c r="H475" s="397">
        <v>1185</v>
      </c>
      <c r="I475" s="397">
        <f t="shared" si="223"/>
        <v>100</v>
      </c>
      <c r="J475" s="413"/>
      <c r="K475" s="401"/>
    </row>
    <row r="476" spans="1:12" s="192" customFormat="1" ht="31.7" customHeight="1" x14ac:dyDescent="0.25">
      <c r="A476" s="394" t="s">
        <v>928</v>
      </c>
      <c r="B476" s="391">
        <v>903</v>
      </c>
      <c r="C476" s="395" t="s">
        <v>299</v>
      </c>
      <c r="D476" s="395" t="s">
        <v>150</v>
      </c>
      <c r="E476" s="395" t="s">
        <v>913</v>
      </c>
      <c r="F476" s="395"/>
      <c r="G476" s="393">
        <f>G477+G486+G489</f>
        <v>12408.836099999999</v>
      </c>
      <c r="H476" s="393">
        <f t="shared" ref="H476" si="232">H477+H486+H489</f>
        <v>12361.114</v>
      </c>
      <c r="I476" s="393">
        <f t="shared" si="223"/>
        <v>99.615418403342446</v>
      </c>
      <c r="J476" s="413"/>
      <c r="K476" s="401"/>
    </row>
    <row r="477" spans="1:12" s="192" customFormat="1" ht="30.75" customHeight="1" x14ac:dyDescent="0.25">
      <c r="A477" s="396" t="s">
        <v>902</v>
      </c>
      <c r="B477" s="390">
        <v>903</v>
      </c>
      <c r="C477" s="392" t="s">
        <v>299</v>
      </c>
      <c r="D477" s="392" t="s">
        <v>150</v>
      </c>
      <c r="E477" s="392" t="s">
        <v>914</v>
      </c>
      <c r="F477" s="392"/>
      <c r="G477" s="397">
        <f>G478+G480+G484+G482</f>
        <v>11930.699999999999</v>
      </c>
      <c r="H477" s="397">
        <f t="shared" ref="H477" si="233">H478+H480+H484+H482</f>
        <v>11883.003999999999</v>
      </c>
      <c r="I477" s="397">
        <f t="shared" si="223"/>
        <v>99.600224630574914</v>
      </c>
      <c r="J477" s="413"/>
      <c r="K477" s="401"/>
    </row>
    <row r="478" spans="1:12" s="192" customFormat="1" ht="63" x14ac:dyDescent="0.25">
      <c r="A478" s="396" t="s">
        <v>127</v>
      </c>
      <c r="B478" s="390">
        <v>903</v>
      </c>
      <c r="C478" s="392" t="s">
        <v>299</v>
      </c>
      <c r="D478" s="392" t="s">
        <v>150</v>
      </c>
      <c r="E478" s="392" t="s">
        <v>914</v>
      </c>
      <c r="F478" s="392" t="s">
        <v>128</v>
      </c>
      <c r="G478" s="397">
        <f>G479</f>
        <v>9857.4</v>
      </c>
      <c r="H478" s="397">
        <f t="shared" ref="H478" si="234">H479</f>
        <v>9823.8420000000006</v>
      </c>
      <c r="I478" s="397">
        <f t="shared" si="223"/>
        <v>99.659565402641675</v>
      </c>
      <c r="J478" s="413"/>
      <c r="K478" s="401"/>
    </row>
    <row r="479" spans="1:12" s="192" customFormat="1" ht="21.2" customHeight="1" x14ac:dyDescent="0.25">
      <c r="A479" s="396" t="s">
        <v>342</v>
      </c>
      <c r="B479" s="390">
        <v>903</v>
      </c>
      <c r="C479" s="392" t="s">
        <v>299</v>
      </c>
      <c r="D479" s="392" t="s">
        <v>150</v>
      </c>
      <c r="E479" s="392" t="s">
        <v>914</v>
      </c>
      <c r="F479" s="392" t="s">
        <v>209</v>
      </c>
      <c r="G479" s="27">
        <f>8853.8+12.3+16.1+83+400+6.1+27.6+6.8+0.2+259.3+212.5-13.8-6.5</f>
        <v>9857.4</v>
      </c>
      <c r="H479" s="27">
        <v>9823.8420000000006</v>
      </c>
      <c r="I479" s="397">
        <f t="shared" si="223"/>
        <v>99.659565402641675</v>
      </c>
      <c r="J479" s="413"/>
      <c r="K479" s="413"/>
      <c r="L479" s="424"/>
    </row>
    <row r="480" spans="1:12" s="192" customFormat="1" ht="31.5" x14ac:dyDescent="0.25">
      <c r="A480" s="396" t="s">
        <v>131</v>
      </c>
      <c r="B480" s="390">
        <v>903</v>
      </c>
      <c r="C480" s="392" t="s">
        <v>299</v>
      </c>
      <c r="D480" s="392" t="s">
        <v>150</v>
      </c>
      <c r="E480" s="392" t="s">
        <v>914</v>
      </c>
      <c r="F480" s="392" t="s">
        <v>132</v>
      </c>
      <c r="G480" s="397">
        <f>G481</f>
        <v>1908.1999999999998</v>
      </c>
      <c r="H480" s="397">
        <f t="shared" ref="H480" si="235">H481</f>
        <v>1894.1849999999999</v>
      </c>
      <c r="I480" s="397">
        <f t="shared" si="223"/>
        <v>99.265538203542619</v>
      </c>
      <c r="J480" s="413"/>
      <c r="K480" s="401"/>
    </row>
    <row r="481" spans="1:12" s="192" customFormat="1" ht="31.5" x14ac:dyDescent="0.25">
      <c r="A481" s="396" t="s">
        <v>133</v>
      </c>
      <c r="B481" s="390">
        <v>903</v>
      </c>
      <c r="C481" s="392" t="s">
        <v>299</v>
      </c>
      <c r="D481" s="392" t="s">
        <v>150</v>
      </c>
      <c r="E481" s="392" t="s">
        <v>914</v>
      </c>
      <c r="F481" s="392" t="s">
        <v>134</v>
      </c>
      <c r="G481" s="27">
        <f>1936.4+0.6-140.4+40.4+100+2.7+0.8-10.9+8-0.2-29.2</f>
        <v>1908.1999999999998</v>
      </c>
      <c r="H481" s="27">
        <v>1894.1849999999999</v>
      </c>
      <c r="I481" s="397">
        <f t="shared" si="223"/>
        <v>99.265538203542619</v>
      </c>
      <c r="J481" s="413"/>
      <c r="K481" s="401"/>
      <c r="L481" s="424"/>
    </row>
    <row r="482" spans="1:12" s="192" customFormat="1" ht="15.75" x14ac:dyDescent="0.25">
      <c r="A482" s="396" t="s">
        <v>248</v>
      </c>
      <c r="B482" s="390">
        <v>903</v>
      </c>
      <c r="C482" s="392" t="s">
        <v>299</v>
      </c>
      <c r="D482" s="392" t="s">
        <v>150</v>
      </c>
      <c r="E482" s="392" t="s">
        <v>914</v>
      </c>
      <c r="F482" s="392" t="s">
        <v>249</v>
      </c>
      <c r="G482" s="27">
        <f>G483</f>
        <v>147</v>
      </c>
      <c r="H482" s="27">
        <f t="shared" ref="H482" si="236">H483</f>
        <v>146.90799999999999</v>
      </c>
      <c r="I482" s="397">
        <f t="shared" si="223"/>
        <v>99.937414965986378</v>
      </c>
      <c r="J482" s="413"/>
      <c r="K482" s="401"/>
      <c r="L482" s="424"/>
    </row>
    <row r="483" spans="1:12" s="192" customFormat="1" ht="31.5" x14ac:dyDescent="0.25">
      <c r="A483" s="396" t="s">
        <v>250</v>
      </c>
      <c r="B483" s="390">
        <v>903</v>
      </c>
      <c r="C483" s="392" t="s">
        <v>299</v>
      </c>
      <c r="D483" s="392" t="s">
        <v>150</v>
      </c>
      <c r="E483" s="392" t="s">
        <v>914</v>
      </c>
      <c r="F483" s="392" t="s">
        <v>251</v>
      </c>
      <c r="G483" s="27">
        <f>120.2+26.8</f>
        <v>147</v>
      </c>
      <c r="H483" s="27">
        <v>146.90799999999999</v>
      </c>
      <c r="I483" s="397">
        <f t="shared" si="223"/>
        <v>99.937414965986378</v>
      </c>
      <c r="J483" s="413"/>
      <c r="K483" s="401"/>
      <c r="L483" s="424"/>
    </row>
    <row r="484" spans="1:12" s="192" customFormat="1" ht="15.75" x14ac:dyDescent="0.25">
      <c r="A484" s="396" t="s">
        <v>135</v>
      </c>
      <c r="B484" s="390">
        <v>903</v>
      </c>
      <c r="C484" s="392" t="s">
        <v>299</v>
      </c>
      <c r="D484" s="392" t="s">
        <v>150</v>
      </c>
      <c r="E484" s="392" t="s">
        <v>914</v>
      </c>
      <c r="F484" s="392" t="s">
        <v>145</v>
      </c>
      <c r="G484" s="397">
        <f>G485</f>
        <v>18.100000000000001</v>
      </c>
      <c r="H484" s="397">
        <f t="shared" ref="H484" si="237">H485</f>
        <v>18.068999999999999</v>
      </c>
      <c r="I484" s="397">
        <f t="shared" si="223"/>
        <v>99.828729281767949</v>
      </c>
      <c r="J484" s="413"/>
      <c r="K484" s="401"/>
    </row>
    <row r="485" spans="1:12" s="192" customFormat="1" ht="15.75" x14ac:dyDescent="0.25">
      <c r="A485" s="396" t="s">
        <v>568</v>
      </c>
      <c r="B485" s="390">
        <v>903</v>
      </c>
      <c r="C485" s="392" t="s">
        <v>299</v>
      </c>
      <c r="D485" s="392" t="s">
        <v>150</v>
      </c>
      <c r="E485" s="392" t="s">
        <v>914</v>
      </c>
      <c r="F485" s="392" t="s">
        <v>138</v>
      </c>
      <c r="G485" s="397">
        <f>14-1+5.1</f>
        <v>18.100000000000001</v>
      </c>
      <c r="H485" s="397">
        <v>18.068999999999999</v>
      </c>
      <c r="I485" s="397">
        <f t="shared" si="223"/>
        <v>99.828729281767949</v>
      </c>
      <c r="J485" s="413"/>
      <c r="K485" s="401"/>
    </row>
    <row r="486" spans="1:12" s="192" customFormat="1" ht="31.5" x14ac:dyDescent="0.25">
      <c r="A486" s="396" t="s">
        <v>838</v>
      </c>
      <c r="B486" s="390">
        <v>903</v>
      </c>
      <c r="C486" s="392" t="s">
        <v>299</v>
      </c>
      <c r="D486" s="392" t="s">
        <v>150</v>
      </c>
      <c r="E486" s="392" t="s">
        <v>915</v>
      </c>
      <c r="F486" s="392"/>
      <c r="G486" s="397">
        <f>G487</f>
        <v>357.6</v>
      </c>
      <c r="H486" s="397">
        <f t="shared" ref="H486:H487" si="238">H487</f>
        <v>357.57400000000001</v>
      </c>
      <c r="I486" s="397">
        <f t="shared" si="223"/>
        <v>99.992729306487689</v>
      </c>
      <c r="J486" s="413"/>
      <c r="K486" s="401"/>
    </row>
    <row r="487" spans="1:12" s="192" customFormat="1" ht="63" x14ac:dyDescent="0.25">
      <c r="A487" s="396" t="s">
        <v>127</v>
      </c>
      <c r="B487" s="390">
        <v>903</v>
      </c>
      <c r="C487" s="392" t="s">
        <v>299</v>
      </c>
      <c r="D487" s="392" t="s">
        <v>150</v>
      </c>
      <c r="E487" s="392" t="s">
        <v>915</v>
      </c>
      <c r="F487" s="392" t="s">
        <v>128</v>
      </c>
      <c r="G487" s="397">
        <f>G488</f>
        <v>357.6</v>
      </c>
      <c r="H487" s="397">
        <f t="shared" si="238"/>
        <v>357.57400000000001</v>
      </c>
      <c r="I487" s="397">
        <f t="shared" si="223"/>
        <v>99.992729306487689</v>
      </c>
      <c r="J487" s="413"/>
      <c r="K487" s="401"/>
    </row>
    <row r="488" spans="1:12" s="192" customFormat="1" ht="15.75" x14ac:dyDescent="0.25">
      <c r="A488" s="396" t="s">
        <v>342</v>
      </c>
      <c r="B488" s="390">
        <v>903</v>
      </c>
      <c r="C488" s="392" t="s">
        <v>299</v>
      </c>
      <c r="D488" s="392" t="s">
        <v>150</v>
      </c>
      <c r="E488" s="392" t="s">
        <v>915</v>
      </c>
      <c r="F488" s="392" t="s">
        <v>209</v>
      </c>
      <c r="G488" s="397">
        <f>210+95.8+33.2+18.6</f>
        <v>357.6</v>
      </c>
      <c r="H488" s="397">
        <v>357.57400000000001</v>
      </c>
      <c r="I488" s="397">
        <f t="shared" si="223"/>
        <v>99.992729306487689</v>
      </c>
      <c r="J488" s="413"/>
      <c r="K488" s="401"/>
    </row>
    <row r="489" spans="1:12" s="192" customFormat="1" ht="31.5" x14ac:dyDescent="0.25">
      <c r="A489" s="396" t="s">
        <v>1677</v>
      </c>
      <c r="B489" s="390">
        <v>903</v>
      </c>
      <c r="C489" s="392" t="s">
        <v>299</v>
      </c>
      <c r="D489" s="392" t="s">
        <v>150</v>
      </c>
      <c r="E489" s="392" t="s">
        <v>1681</v>
      </c>
      <c r="F489" s="392"/>
      <c r="G489" s="397">
        <f>G490</f>
        <v>120.5361</v>
      </c>
      <c r="H489" s="397">
        <f t="shared" ref="H489:H490" si="239">H490</f>
        <v>120.536</v>
      </c>
      <c r="I489" s="397">
        <f t="shared" si="223"/>
        <v>99.999917037302509</v>
      </c>
      <c r="J489" s="413"/>
      <c r="K489" s="401"/>
    </row>
    <row r="490" spans="1:12" s="192" customFormat="1" ht="63" x14ac:dyDescent="0.25">
      <c r="A490" s="396" t="s">
        <v>127</v>
      </c>
      <c r="B490" s="390">
        <v>903</v>
      </c>
      <c r="C490" s="392" t="s">
        <v>299</v>
      </c>
      <c r="D490" s="392" t="s">
        <v>150</v>
      </c>
      <c r="E490" s="392" t="s">
        <v>1681</v>
      </c>
      <c r="F490" s="392" t="s">
        <v>128</v>
      </c>
      <c r="G490" s="397">
        <f>G491</f>
        <v>120.5361</v>
      </c>
      <c r="H490" s="397">
        <f t="shared" si="239"/>
        <v>120.536</v>
      </c>
      <c r="I490" s="397">
        <f t="shared" si="223"/>
        <v>99.999917037302509</v>
      </c>
      <c r="J490" s="413"/>
      <c r="K490" s="401"/>
    </row>
    <row r="491" spans="1:12" s="192" customFormat="1" ht="15.75" x14ac:dyDescent="0.25">
      <c r="A491" s="396" t="s">
        <v>208</v>
      </c>
      <c r="B491" s="390">
        <v>903</v>
      </c>
      <c r="C491" s="392" t="s">
        <v>299</v>
      </c>
      <c r="D491" s="392" t="s">
        <v>150</v>
      </c>
      <c r="E491" s="392" t="s">
        <v>1681</v>
      </c>
      <c r="F491" s="392" t="s">
        <v>209</v>
      </c>
      <c r="G491" s="397">
        <v>120.5361</v>
      </c>
      <c r="H491" s="397">
        <v>120.536</v>
      </c>
      <c r="I491" s="397">
        <f t="shared" si="223"/>
        <v>99.999917037302509</v>
      </c>
      <c r="J491" s="413"/>
      <c r="K491" s="401"/>
    </row>
    <row r="492" spans="1:12" ht="48.2" customHeight="1" x14ac:dyDescent="0.25">
      <c r="A492" s="394" t="s">
        <v>1346</v>
      </c>
      <c r="B492" s="391">
        <v>903</v>
      </c>
      <c r="C492" s="395" t="s">
        <v>299</v>
      </c>
      <c r="D492" s="395" t="s">
        <v>150</v>
      </c>
      <c r="E492" s="395" t="s">
        <v>344</v>
      </c>
      <c r="F492" s="395"/>
      <c r="G492" s="393">
        <f>G493</f>
        <v>178</v>
      </c>
      <c r="H492" s="393">
        <f t="shared" ref="H492:H496" si="240">H493</f>
        <v>177.97</v>
      </c>
      <c r="I492" s="393">
        <f t="shared" si="223"/>
        <v>99.983146067415731</v>
      </c>
      <c r="J492" s="413"/>
      <c r="K492" s="401"/>
      <c r="L492" s="192"/>
    </row>
    <row r="493" spans="1:12" ht="31.5" x14ac:dyDescent="0.25">
      <c r="A493" s="394" t="s">
        <v>1352</v>
      </c>
      <c r="B493" s="391">
        <v>903</v>
      </c>
      <c r="C493" s="395" t="s">
        <v>299</v>
      </c>
      <c r="D493" s="395" t="s">
        <v>150</v>
      </c>
      <c r="E493" s="395" t="s">
        <v>362</v>
      </c>
      <c r="F493" s="395"/>
      <c r="G493" s="393">
        <f>G494</f>
        <v>178</v>
      </c>
      <c r="H493" s="393">
        <f t="shared" si="240"/>
        <v>177.97</v>
      </c>
      <c r="I493" s="393">
        <f t="shared" si="223"/>
        <v>99.983146067415731</v>
      </c>
      <c r="J493" s="413"/>
      <c r="K493" s="401"/>
      <c r="L493" s="192"/>
    </row>
    <row r="494" spans="1:12" s="192" customFormat="1" ht="31.5" x14ac:dyDescent="0.25">
      <c r="A494" s="394" t="s">
        <v>996</v>
      </c>
      <c r="B494" s="391">
        <v>903</v>
      </c>
      <c r="C494" s="395" t="s">
        <v>299</v>
      </c>
      <c r="D494" s="395" t="s">
        <v>150</v>
      </c>
      <c r="E494" s="395" t="s">
        <v>1219</v>
      </c>
      <c r="F494" s="395"/>
      <c r="G494" s="393">
        <f>G495</f>
        <v>178</v>
      </c>
      <c r="H494" s="393">
        <f t="shared" si="240"/>
        <v>177.97</v>
      </c>
      <c r="I494" s="393">
        <f t="shared" si="223"/>
        <v>99.983146067415731</v>
      </c>
      <c r="J494" s="413"/>
      <c r="K494" s="401"/>
    </row>
    <row r="495" spans="1:12" ht="15.75" x14ac:dyDescent="0.25">
      <c r="A495" s="396" t="s">
        <v>995</v>
      </c>
      <c r="B495" s="390">
        <v>903</v>
      </c>
      <c r="C495" s="392" t="s">
        <v>299</v>
      </c>
      <c r="D495" s="392" t="s">
        <v>150</v>
      </c>
      <c r="E495" s="392" t="s">
        <v>1220</v>
      </c>
      <c r="F495" s="392"/>
      <c r="G495" s="397">
        <f>G496</f>
        <v>178</v>
      </c>
      <c r="H495" s="397">
        <f t="shared" si="240"/>
        <v>177.97</v>
      </c>
      <c r="I495" s="397">
        <f t="shared" si="223"/>
        <v>99.983146067415731</v>
      </c>
      <c r="J495" s="413"/>
      <c r="K495" s="401"/>
      <c r="L495" s="192"/>
    </row>
    <row r="496" spans="1:12" ht="31.5" x14ac:dyDescent="0.25">
      <c r="A496" s="396" t="s">
        <v>131</v>
      </c>
      <c r="B496" s="390">
        <v>903</v>
      </c>
      <c r="C496" s="392" t="s">
        <v>299</v>
      </c>
      <c r="D496" s="392" t="s">
        <v>150</v>
      </c>
      <c r="E496" s="392" t="s">
        <v>1220</v>
      </c>
      <c r="F496" s="392" t="s">
        <v>132</v>
      </c>
      <c r="G496" s="397">
        <f>G497</f>
        <v>178</v>
      </c>
      <c r="H496" s="397">
        <f t="shared" si="240"/>
        <v>177.97</v>
      </c>
      <c r="I496" s="397">
        <f t="shared" si="223"/>
        <v>99.983146067415731</v>
      </c>
      <c r="J496" s="413"/>
      <c r="K496" s="401"/>
      <c r="L496" s="192"/>
    </row>
    <row r="497" spans="1:12" ht="31.5" x14ac:dyDescent="0.25">
      <c r="A497" s="396" t="s">
        <v>133</v>
      </c>
      <c r="B497" s="390">
        <v>903</v>
      </c>
      <c r="C497" s="392" t="s">
        <v>299</v>
      </c>
      <c r="D497" s="392" t="s">
        <v>150</v>
      </c>
      <c r="E497" s="392" t="s">
        <v>1220</v>
      </c>
      <c r="F497" s="392" t="s">
        <v>134</v>
      </c>
      <c r="G497" s="397">
        <f>210+50-60+50-50-100+100-22</f>
        <v>178</v>
      </c>
      <c r="H497" s="397">
        <v>177.97</v>
      </c>
      <c r="I497" s="397">
        <f t="shared" si="223"/>
        <v>99.983146067415731</v>
      </c>
      <c r="J497" s="413"/>
      <c r="K497" s="401"/>
      <c r="L497" s="192"/>
    </row>
    <row r="498" spans="1:12" s="192" customFormat="1" ht="47.25" x14ac:dyDescent="0.25">
      <c r="A498" s="34" t="s">
        <v>1356</v>
      </c>
      <c r="B498" s="391">
        <v>903</v>
      </c>
      <c r="C498" s="395" t="s">
        <v>299</v>
      </c>
      <c r="D498" s="395" t="s">
        <v>150</v>
      </c>
      <c r="E498" s="395" t="s">
        <v>324</v>
      </c>
      <c r="F498" s="395"/>
      <c r="G498" s="393">
        <f>G500</f>
        <v>4</v>
      </c>
      <c r="H498" s="393">
        <f t="shared" ref="H498" si="241">H500</f>
        <v>4</v>
      </c>
      <c r="I498" s="393">
        <f t="shared" si="223"/>
        <v>100</v>
      </c>
      <c r="J498" s="413"/>
      <c r="K498" s="401"/>
    </row>
    <row r="499" spans="1:12" s="192" customFormat="1" ht="47.25" x14ac:dyDescent="0.25">
      <c r="A499" s="34" t="s">
        <v>1024</v>
      </c>
      <c r="B499" s="391">
        <v>903</v>
      </c>
      <c r="C499" s="395" t="s">
        <v>299</v>
      </c>
      <c r="D499" s="395" t="s">
        <v>150</v>
      </c>
      <c r="E499" s="395" t="s">
        <v>933</v>
      </c>
      <c r="F499" s="395"/>
      <c r="G499" s="393">
        <f>G502</f>
        <v>4</v>
      </c>
      <c r="H499" s="393">
        <f t="shared" ref="H499" si="242">H502</f>
        <v>4</v>
      </c>
      <c r="I499" s="393">
        <f t="shared" si="223"/>
        <v>100</v>
      </c>
      <c r="J499" s="413"/>
      <c r="K499" s="401"/>
    </row>
    <row r="500" spans="1:12" s="192" customFormat="1" ht="47.25" x14ac:dyDescent="0.25">
      <c r="A500" s="31" t="s">
        <v>1081</v>
      </c>
      <c r="B500" s="390">
        <v>903</v>
      </c>
      <c r="C500" s="392" t="s">
        <v>299</v>
      </c>
      <c r="D500" s="392" t="s">
        <v>150</v>
      </c>
      <c r="E500" s="392" t="s">
        <v>1025</v>
      </c>
      <c r="F500" s="392"/>
      <c r="G500" s="397">
        <f>G501</f>
        <v>4</v>
      </c>
      <c r="H500" s="397">
        <f t="shared" ref="H500:H501" si="243">H501</f>
        <v>4</v>
      </c>
      <c r="I500" s="397">
        <f t="shared" si="223"/>
        <v>100</v>
      </c>
      <c r="J500" s="413"/>
      <c r="K500" s="401"/>
    </row>
    <row r="501" spans="1:12" s="192" customFormat="1" ht="31.5" x14ac:dyDescent="0.25">
      <c r="A501" s="396" t="s">
        <v>131</v>
      </c>
      <c r="B501" s="390">
        <v>903</v>
      </c>
      <c r="C501" s="392" t="s">
        <v>299</v>
      </c>
      <c r="D501" s="392" t="s">
        <v>150</v>
      </c>
      <c r="E501" s="392" t="s">
        <v>1025</v>
      </c>
      <c r="F501" s="392" t="s">
        <v>132</v>
      </c>
      <c r="G501" s="397">
        <f>G502</f>
        <v>4</v>
      </c>
      <c r="H501" s="397">
        <f t="shared" si="243"/>
        <v>4</v>
      </c>
      <c r="I501" s="397">
        <f t="shared" si="223"/>
        <v>100</v>
      </c>
      <c r="J501" s="413"/>
      <c r="K501" s="401"/>
    </row>
    <row r="502" spans="1:12" s="192" customFormat="1" ht="31.5" x14ac:dyDescent="0.25">
      <c r="A502" s="396" t="s">
        <v>133</v>
      </c>
      <c r="B502" s="390">
        <v>903</v>
      </c>
      <c r="C502" s="392" t="s">
        <v>299</v>
      </c>
      <c r="D502" s="392" t="s">
        <v>150</v>
      </c>
      <c r="E502" s="392" t="s">
        <v>1025</v>
      </c>
      <c r="F502" s="392" t="s">
        <v>134</v>
      </c>
      <c r="G502" s="397">
        <v>4</v>
      </c>
      <c r="H502" s="397">
        <v>4</v>
      </c>
      <c r="I502" s="397">
        <f t="shared" si="223"/>
        <v>100</v>
      </c>
      <c r="J502" s="413"/>
      <c r="K502" s="401"/>
    </row>
    <row r="503" spans="1:12" ht="15.75" x14ac:dyDescent="0.25">
      <c r="A503" s="394" t="s">
        <v>243</v>
      </c>
      <c r="B503" s="391">
        <v>903</v>
      </c>
      <c r="C503" s="395" t="s">
        <v>244</v>
      </c>
      <c r="D503" s="395"/>
      <c r="E503" s="395"/>
      <c r="F503" s="395"/>
      <c r="G503" s="393">
        <f>G504</f>
        <v>1452.2</v>
      </c>
      <c r="H503" s="393">
        <f t="shared" ref="H503:H504" si="244">H504</f>
        <v>1451.9349999999999</v>
      </c>
      <c r="I503" s="393">
        <f t="shared" si="223"/>
        <v>99.981751824817508</v>
      </c>
      <c r="J503" s="413"/>
      <c r="K503" s="401"/>
      <c r="L503" s="192"/>
    </row>
    <row r="504" spans="1:12" ht="15.75" x14ac:dyDescent="0.25">
      <c r="A504" s="394" t="s">
        <v>252</v>
      </c>
      <c r="B504" s="391">
        <v>903</v>
      </c>
      <c r="C504" s="395" t="s">
        <v>244</v>
      </c>
      <c r="D504" s="395" t="s">
        <v>215</v>
      </c>
      <c r="E504" s="395"/>
      <c r="F504" s="395"/>
      <c r="G504" s="393">
        <f>G505</f>
        <v>1452.2</v>
      </c>
      <c r="H504" s="393">
        <f t="shared" si="244"/>
        <v>1451.9349999999999</v>
      </c>
      <c r="I504" s="393">
        <f t="shared" si="223"/>
        <v>99.981751824817508</v>
      </c>
      <c r="J504" s="413"/>
      <c r="K504" s="401"/>
      <c r="L504" s="192"/>
    </row>
    <row r="505" spans="1:12" ht="47.25" x14ac:dyDescent="0.25">
      <c r="A505" s="394" t="s">
        <v>1346</v>
      </c>
      <c r="B505" s="391">
        <v>903</v>
      </c>
      <c r="C505" s="395" t="s">
        <v>244</v>
      </c>
      <c r="D505" s="395" t="s">
        <v>215</v>
      </c>
      <c r="E505" s="395" t="s">
        <v>344</v>
      </c>
      <c r="F505" s="395"/>
      <c r="G505" s="393">
        <f>G506+G511</f>
        <v>1452.2</v>
      </c>
      <c r="H505" s="393">
        <f t="shared" ref="H505" si="245">H506+H511</f>
        <v>1451.9349999999999</v>
      </c>
      <c r="I505" s="393">
        <f t="shared" si="223"/>
        <v>99.981751824817508</v>
      </c>
      <c r="J505" s="413"/>
      <c r="K505" s="401"/>
      <c r="L505" s="192"/>
    </row>
    <row r="506" spans="1:12" ht="15.75" hidden="1" x14ac:dyDescent="0.25">
      <c r="A506" s="394" t="s">
        <v>352</v>
      </c>
      <c r="B506" s="391">
        <v>903</v>
      </c>
      <c r="C506" s="395" t="s">
        <v>244</v>
      </c>
      <c r="D506" s="395" t="s">
        <v>215</v>
      </c>
      <c r="E506" s="395" t="s">
        <v>353</v>
      </c>
      <c r="F506" s="395"/>
      <c r="G506" s="393">
        <f>G507</f>
        <v>0</v>
      </c>
      <c r="H506" s="393">
        <f t="shared" ref="H506:H509" si="246">H507</f>
        <v>0</v>
      </c>
      <c r="I506" s="393" t="e">
        <f t="shared" si="223"/>
        <v>#DIV/0!</v>
      </c>
      <c r="J506" s="413"/>
      <c r="K506" s="401"/>
      <c r="L506" s="192"/>
    </row>
    <row r="507" spans="1:12" s="192" customFormat="1" ht="33.75" hidden="1" customHeight="1" x14ac:dyDescent="0.25">
      <c r="A507" s="394" t="s">
        <v>904</v>
      </c>
      <c r="B507" s="391">
        <v>903</v>
      </c>
      <c r="C507" s="395" t="s">
        <v>244</v>
      </c>
      <c r="D507" s="395" t="s">
        <v>215</v>
      </c>
      <c r="E507" s="395" t="s">
        <v>903</v>
      </c>
      <c r="F507" s="395"/>
      <c r="G507" s="393">
        <f>G508</f>
        <v>0</v>
      </c>
      <c r="H507" s="393">
        <f t="shared" si="246"/>
        <v>0</v>
      </c>
      <c r="I507" s="393" t="e">
        <f t="shared" si="223"/>
        <v>#DIV/0!</v>
      </c>
      <c r="J507" s="413"/>
      <c r="K507" s="401"/>
    </row>
    <row r="508" spans="1:12" ht="31.5" hidden="1" x14ac:dyDescent="0.25">
      <c r="A508" s="396" t="s">
        <v>823</v>
      </c>
      <c r="B508" s="390">
        <v>903</v>
      </c>
      <c r="C508" s="392" t="s">
        <v>244</v>
      </c>
      <c r="D508" s="392" t="s">
        <v>215</v>
      </c>
      <c r="E508" s="392" t="s">
        <v>905</v>
      </c>
      <c r="F508" s="392"/>
      <c r="G508" s="397">
        <f>G509</f>
        <v>0</v>
      </c>
      <c r="H508" s="397">
        <f t="shared" si="246"/>
        <v>0</v>
      </c>
      <c r="I508" s="393" t="e">
        <f t="shared" si="223"/>
        <v>#DIV/0!</v>
      </c>
      <c r="J508" s="413"/>
      <c r="K508" s="401"/>
      <c r="L508" s="192"/>
    </row>
    <row r="509" spans="1:12" ht="15.75" hidden="1" x14ac:dyDescent="0.25">
      <c r="A509" s="396" t="s">
        <v>248</v>
      </c>
      <c r="B509" s="390">
        <v>903</v>
      </c>
      <c r="C509" s="392" t="s">
        <v>244</v>
      </c>
      <c r="D509" s="392" t="s">
        <v>215</v>
      </c>
      <c r="E509" s="392" t="s">
        <v>905</v>
      </c>
      <c r="F509" s="392" t="s">
        <v>249</v>
      </c>
      <c r="G509" s="397">
        <f>G510</f>
        <v>0</v>
      </c>
      <c r="H509" s="397">
        <f t="shared" si="246"/>
        <v>0</v>
      </c>
      <c r="I509" s="393" t="e">
        <f t="shared" si="223"/>
        <v>#DIV/0!</v>
      </c>
      <c r="J509" s="413"/>
      <c r="K509" s="401"/>
      <c r="L509" s="192"/>
    </row>
    <row r="510" spans="1:12" ht="31.5" hidden="1" x14ac:dyDescent="0.25">
      <c r="A510" s="396" t="s">
        <v>250</v>
      </c>
      <c r="B510" s="390">
        <v>903</v>
      </c>
      <c r="C510" s="392" t="s">
        <v>244</v>
      </c>
      <c r="D510" s="392" t="s">
        <v>215</v>
      </c>
      <c r="E510" s="392" t="s">
        <v>905</v>
      </c>
      <c r="F510" s="392" t="s">
        <v>251</v>
      </c>
      <c r="G510" s="397"/>
      <c r="H510" s="397"/>
      <c r="I510" s="393" t="e">
        <f t="shared" si="223"/>
        <v>#DIV/0!</v>
      </c>
      <c r="J510" s="413"/>
      <c r="K510" s="401"/>
      <c r="L510" s="192"/>
    </row>
    <row r="511" spans="1:12" ht="31.5" x14ac:dyDescent="0.25">
      <c r="A511" s="394" t="s">
        <v>1352</v>
      </c>
      <c r="B511" s="391">
        <v>903</v>
      </c>
      <c r="C511" s="391">
        <v>10</v>
      </c>
      <c r="D511" s="395" t="s">
        <v>215</v>
      </c>
      <c r="E511" s="395" t="s">
        <v>362</v>
      </c>
      <c r="F511" s="395"/>
      <c r="G511" s="393">
        <f>G512+G518+G524</f>
        <v>1452.2</v>
      </c>
      <c r="H511" s="393">
        <f t="shared" ref="H511" si="247">H512+H518+H524</f>
        <v>1451.9349999999999</v>
      </c>
      <c r="I511" s="393">
        <f t="shared" si="223"/>
        <v>99.981751824817508</v>
      </c>
      <c r="J511" s="413"/>
      <c r="K511" s="401"/>
      <c r="L511" s="192"/>
    </row>
    <row r="512" spans="1:12" s="192" customFormat="1" ht="31.5" x14ac:dyDescent="0.25">
      <c r="A512" s="394" t="s">
        <v>1038</v>
      </c>
      <c r="B512" s="391">
        <v>903</v>
      </c>
      <c r="C512" s="395" t="s">
        <v>244</v>
      </c>
      <c r="D512" s="395" t="s">
        <v>215</v>
      </c>
      <c r="E512" s="395" t="s">
        <v>912</v>
      </c>
      <c r="F512" s="395"/>
      <c r="G512" s="393">
        <f>G513</f>
        <v>1027.2</v>
      </c>
      <c r="H512" s="393">
        <f t="shared" ref="H512" si="248">H513</f>
        <v>1026.9349999999999</v>
      </c>
      <c r="I512" s="393">
        <f t="shared" si="223"/>
        <v>99.97420171339563</v>
      </c>
      <c r="J512" s="413"/>
      <c r="K512" s="401"/>
    </row>
    <row r="513" spans="1:12" s="192" customFormat="1" ht="39.75" customHeight="1" x14ac:dyDescent="0.25">
      <c r="A513" s="98" t="s">
        <v>1039</v>
      </c>
      <c r="B513" s="390">
        <v>903</v>
      </c>
      <c r="C513" s="392" t="s">
        <v>244</v>
      </c>
      <c r="D513" s="392" t="s">
        <v>215</v>
      </c>
      <c r="E513" s="392" t="s">
        <v>1222</v>
      </c>
      <c r="F513" s="392"/>
      <c r="G513" s="397">
        <f>G516+G515</f>
        <v>1027.2</v>
      </c>
      <c r="H513" s="397">
        <f t="shared" ref="H513" si="249">H516+H515</f>
        <v>1026.9349999999999</v>
      </c>
      <c r="I513" s="397">
        <f t="shared" si="223"/>
        <v>99.97420171339563</v>
      </c>
      <c r="J513" s="413"/>
      <c r="K513" s="401"/>
    </row>
    <row r="514" spans="1:12" s="192" customFormat="1" ht="31.5" x14ac:dyDescent="0.25">
      <c r="A514" s="396" t="s">
        <v>131</v>
      </c>
      <c r="B514" s="390">
        <v>903</v>
      </c>
      <c r="C514" s="392" t="s">
        <v>244</v>
      </c>
      <c r="D514" s="392" t="s">
        <v>215</v>
      </c>
      <c r="E514" s="392" t="s">
        <v>1222</v>
      </c>
      <c r="F514" s="392" t="s">
        <v>132</v>
      </c>
      <c r="G514" s="397">
        <f>G515</f>
        <v>529.20000000000005</v>
      </c>
      <c r="H514" s="397">
        <f t="shared" ref="H514" si="250">H515</f>
        <v>528.98500000000001</v>
      </c>
      <c r="I514" s="397">
        <f t="shared" si="223"/>
        <v>99.959372637944057</v>
      </c>
      <c r="J514" s="413"/>
      <c r="K514" s="401"/>
    </row>
    <row r="515" spans="1:12" s="192" customFormat="1" ht="31.5" x14ac:dyDescent="0.25">
      <c r="A515" s="396" t="s">
        <v>133</v>
      </c>
      <c r="B515" s="390">
        <v>903</v>
      </c>
      <c r="C515" s="392" t="s">
        <v>244</v>
      </c>
      <c r="D515" s="392" t="s">
        <v>215</v>
      </c>
      <c r="E515" s="392" t="s">
        <v>1222</v>
      </c>
      <c r="F515" s="392" t="s">
        <v>134</v>
      </c>
      <c r="G515" s="397">
        <f>400-100-80.9-104.3+50+235.2+12.3+3.6+45.8+0.1-0.1+67.5</f>
        <v>529.20000000000005</v>
      </c>
      <c r="H515" s="397">
        <v>528.98500000000001</v>
      </c>
      <c r="I515" s="397">
        <f t="shared" si="223"/>
        <v>99.959372637944057</v>
      </c>
      <c r="J515" s="413"/>
      <c r="K515" s="401"/>
    </row>
    <row r="516" spans="1:12" s="192" customFormat="1" ht="15.75" x14ac:dyDescent="0.25">
      <c r="A516" s="396" t="s">
        <v>248</v>
      </c>
      <c r="B516" s="390">
        <v>903</v>
      </c>
      <c r="C516" s="392" t="s">
        <v>244</v>
      </c>
      <c r="D516" s="392" t="s">
        <v>215</v>
      </c>
      <c r="E516" s="392" t="s">
        <v>1222</v>
      </c>
      <c r="F516" s="392" t="s">
        <v>249</v>
      </c>
      <c r="G516" s="397">
        <f>G517</f>
        <v>497.99999999999994</v>
      </c>
      <c r="H516" s="397">
        <f t="shared" ref="H516" si="251">H517</f>
        <v>497.95</v>
      </c>
      <c r="I516" s="397">
        <f t="shared" si="223"/>
        <v>99.989959839357439</v>
      </c>
      <c r="J516" s="413"/>
      <c r="K516" s="401"/>
    </row>
    <row r="517" spans="1:12" s="192" customFormat="1" ht="15.75" x14ac:dyDescent="0.25">
      <c r="A517" s="396" t="s">
        <v>348</v>
      </c>
      <c r="B517" s="390">
        <v>903</v>
      </c>
      <c r="C517" s="392" t="s">
        <v>244</v>
      </c>
      <c r="D517" s="392" t="s">
        <v>215</v>
      </c>
      <c r="E517" s="392" t="s">
        <v>1222</v>
      </c>
      <c r="F517" s="392" t="s">
        <v>349</v>
      </c>
      <c r="G517" s="397">
        <f>630-137.6+5.7-0.1</f>
        <v>497.99999999999994</v>
      </c>
      <c r="H517" s="397">
        <v>497.95</v>
      </c>
      <c r="I517" s="397">
        <f t="shared" si="223"/>
        <v>99.989959839357439</v>
      </c>
      <c r="J517" s="413"/>
      <c r="K517" s="401"/>
    </row>
    <row r="518" spans="1:12" s="192" customFormat="1" ht="31.5" x14ac:dyDescent="0.25">
      <c r="A518" s="394" t="s">
        <v>1226</v>
      </c>
      <c r="B518" s="391">
        <v>903</v>
      </c>
      <c r="C518" s="391">
        <v>10</v>
      </c>
      <c r="D518" s="395" t="s">
        <v>215</v>
      </c>
      <c r="E518" s="395" t="s">
        <v>1224</v>
      </c>
      <c r="F518" s="395"/>
      <c r="G518" s="393">
        <f>G519</f>
        <v>205</v>
      </c>
      <c r="H518" s="393">
        <f t="shared" ref="H518" si="252">H519</f>
        <v>205</v>
      </c>
      <c r="I518" s="393">
        <f t="shared" si="223"/>
        <v>100</v>
      </c>
      <c r="J518" s="413"/>
      <c r="K518" s="401"/>
    </row>
    <row r="519" spans="1:12" s="192" customFormat="1" ht="15.75" x14ac:dyDescent="0.25">
      <c r="A519" s="396" t="s">
        <v>1223</v>
      </c>
      <c r="B519" s="390">
        <v>903</v>
      </c>
      <c r="C519" s="392" t="s">
        <v>244</v>
      </c>
      <c r="D519" s="392" t="s">
        <v>215</v>
      </c>
      <c r="E519" s="392" t="s">
        <v>1225</v>
      </c>
      <c r="F519" s="392"/>
      <c r="G519" s="397">
        <f>G521+G523</f>
        <v>205</v>
      </c>
      <c r="H519" s="397">
        <f t="shared" ref="H519" si="253">H521+H523</f>
        <v>205</v>
      </c>
      <c r="I519" s="397">
        <f t="shared" si="223"/>
        <v>100</v>
      </c>
      <c r="J519" s="413"/>
      <c r="K519" s="401"/>
    </row>
    <row r="520" spans="1:12" s="192" customFormat="1" ht="31.5" hidden="1" x14ac:dyDescent="0.25">
      <c r="A520" s="396" t="s">
        <v>131</v>
      </c>
      <c r="B520" s="390">
        <v>903</v>
      </c>
      <c r="C520" s="392" t="s">
        <v>244</v>
      </c>
      <c r="D520" s="392" t="s">
        <v>215</v>
      </c>
      <c r="E520" s="392" t="s">
        <v>1225</v>
      </c>
      <c r="F520" s="392" t="s">
        <v>132</v>
      </c>
      <c r="G520" s="397">
        <f>G521</f>
        <v>0</v>
      </c>
      <c r="H520" s="397">
        <f t="shared" ref="H520" si="254">H521</f>
        <v>0</v>
      </c>
      <c r="I520" s="397" t="e">
        <f t="shared" si="223"/>
        <v>#DIV/0!</v>
      </c>
      <c r="J520" s="413"/>
      <c r="K520" s="401"/>
    </row>
    <row r="521" spans="1:12" s="192" customFormat="1" ht="31.5" hidden="1" x14ac:dyDescent="0.25">
      <c r="A521" s="396" t="s">
        <v>133</v>
      </c>
      <c r="B521" s="390">
        <v>903</v>
      </c>
      <c r="C521" s="392" t="s">
        <v>244</v>
      </c>
      <c r="D521" s="392" t="s">
        <v>215</v>
      </c>
      <c r="E521" s="392" t="s">
        <v>1225</v>
      </c>
      <c r="F521" s="392" t="s">
        <v>134</v>
      </c>
      <c r="G521" s="397">
        <f>400-400</f>
        <v>0</v>
      </c>
      <c r="H521" s="397">
        <f t="shared" ref="H521" si="255">400-400</f>
        <v>0</v>
      </c>
      <c r="I521" s="397" t="e">
        <f t="shared" si="223"/>
        <v>#DIV/0!</v>
      </c>
      <c r="J521" s="413"/>
      <c r="K521" s="401"/>
    </row>
    <row r="522" spans="1:12" s="192" customFormat="1" ht="15.75" x14ac:dyDescent="0.25">
      <c r="A522" s="396" t="s">
        <v>248</v>
      </c>
      <c r="B522" s="390">
        <v>903</v>
      </c>
      <c r="C522" s="392" t="s">
        <v>244</v>
      </c>
      <c r="D522" s="392" t="s">
        <v>215</v>
      </c>
      <c r="E522" s="392" t="s">
        <v>1225</v>
      </c>
      <c r="F522" s="392" t="s">
        <v>249</v>
      </c>
      <c r="G522" s="397">
        <f>G523</f>
        <v>205</v>
      </c>
      <c r="H522" s="397">
        <f t="shared" ref="H522" si="256">H523</f>
        <v>205</v>
      </c>
      <c r="I522" s="397">
        <f t="shared" ref="I522:I585" si="257">H522/G522*100</f>
        <v>100</v>
      </c>
      <c r="J522" s="413"/>
      <c r="K522" s="401"/>
    </row>
    <row r="523" spans="1:12" s="192" customFormat="1" ht="15.75" x14ac:dyDescent="0.25">
      <c r="A523" s="396" t="s">
        <v>348</v>
      </c>
      <c r="B523" s="390">
        <v>903</v>
      </c>
      <c r="C523" s="392" t="s">
        <v>244</v>
      </c>
      <c r="D523" s="392" t="s">
        <v>215</v>
      </c>
      <c r="E523" s="392" t="s">
        <v>1225</v>
      </c>
      <c r="F523" s="392" t="s">
        <v>349</v>
      </c>
      <c r="G523" s="397">
        <f>257-22-30</f>
        <v>205</v>
      </c>
      <c r="H523" s="397">
        <v>205</v>
      </c>
      <c r="I523" s="397">
        <f t="shared" si="257"/>
        <v>100</v>
      </c>
      <c r="J523" s="413"/>
      <c r="K523" s="401"/>
    </row>
    <row r="524" spans="1:12" s="192" customFormat="1" ht="31.5" x14ac:dyDescent="0.25">
      <c r="A524" s="394" t="s">
        <v>996</v>
      </c>
      <c r="B524" s="391">
        <v>903</v>
      </c>
      <c r="C524" s="391">
        <v>10</v>
      </c>
      <c r="D524" s="395" t="s">
        <v>215</v>
      </c>
      <c r="E524" s="395" t="s">
        <v>1219</v>
      </c>
      <c r="F524" s="395"/>
      <c r="G524" s="393">
        <f>G525</f>
        <v>220</v>
      </c>
      <c r="H524" s="393">
        <f t="shared" ref="H524:H526" si="258">H525</f>
        <v>220</v>
      </c>
      <c r="I524" s="393">
        <f t="shared" si="257"/>
        <v>100</v>
      </c>
      <c r="J524" s="413"/>
      <c r="K524" s="401"/>
    </row>
    <row r="525" spans="1:12" ht="15.75" x14ac:dyDescent="0.25">
      <c r="A525" s="396" t="s">
        <v>1036</v>
      </c>
      <c r="B525" s="390">
        <v>903</v>
      </c>
      <c r="C525" s="392" t="s">
        <v>244</v>
      </c>
      <c r="D525" s="392" t="s">
        <v>215</v>
      </c>
      <c r="E525" s="392" t="s">
        <v>1221</v>
      </c>
      <c r="F525" s="392"/>
      <c r="G525" s="397">
        <f>G526</f>
        <v>220</v>
      </c>
      <c r="H525" s="397">
        <f t="shared" si="258"/>
        <v>220</v>
      </c>
      <c r="I525" s="397">
        <f t="shared" si="257"/>
        <v>100</v>
      </c>
      <c r="J525" s="413"/>
      <c r="K525" s="401"/>
      <c r="L525" s="192"/>
    </row>
    <row r="526" spans="1:12" ht="15.75" x14ac:dyDescent="0.25">
      <c r="A526" s="396" t="s">
        <v>248</v>
      </c>
      <c r="B526" s="390">
        <v>903</v>
      </c>
      <c r="C526" s="392" t="s">
        <v>244</v>
      </c>
      <c r="D526" s="392" t="s">
        <v>215</v>
      </c>
      <c r="E526" s="392" t="s">
        <v>1221</v>
      </c>
      <c r="F526" s="392" t="s">
        <v>249</v>
      </c>
      <c r="G526" s="397">
        <f>G527</f>
        <v>220</v>
      </c>
      <c r="H526" s="397">
        <f t="shared" si="258"/>
        <v>220</v>
      </c>
      <c r="I526" s="397">
        <f t="shared" si="257"/>
        <v>100</v>
      </c>
      <c r="J526" s="413"/>
      <c r="K526" s="401"/>
      <c r="L526" s="192"/>
    </row>
    <row r="527" spans="1:12" ht="15.75" x14ac:dyDescent="0.25">
      <c r="A527" s="396" t="s">
        <v>348</v>
      </c>
      <c r="B527" s="390">
        <v>903</v>
      </c>
      <c r="C527" s="392" t="s">
        <v>244</v>
      </c>
      <c r="D527" s="392" t="s">
        <v>215</v>
      </c>
      <c r="E527" s="392" t="s">
        <v>1221</v>
      </c>
      <c r="F527" s="392" t="s">
        <v>349</v>
      </c>
      <c r="G527" s="397">
        <f>420-71.5-98.5-10-20</f>
        <v>220</v>
      </c>
      <c r="H527" s="397">
        <v>220</v>
      </c>
      <c r="I527" s="397">
        <f t="shared" si="257"/>
        <v>100</v>
      </c>
      <c r="J527" s="413"/>
      <c r="K527" s="401"/>
      <c r="L527" s="192"/>
    </row>
    <row r="528" spans="1:12" s="192" customFormat="1" ht="15.75" x14ac:dyDescent="0.25">
      <c r="A528" s="394" t="s">
        <v>582</v>
      </c>
      <c r="B528" s="391">
        <v>903</v>
      </c>
      <c r="C528" s="395" t="s">
        <v>238</v>
      </c>
      <c r="D528" s="392"/>
      <c r="E528" s="392"/>
      <c r="F528" s="392"/>
      <c r="G528" s="393">
        <f>G529</f>
        <v>5633.9500000000007</v>
      </c>
      <c r="H528" s="393">
        <f t="shared" ref="H528" si="259">H529</f>
        <v>5624.9350000000004</v>
      </c>
      <c r="I528" s="393">
        <f t="shared" si="257"/>
        <v>99.839987930315317</v>
      </c>
      <c r="J528" s="413"/>
      <c r="K528" s="401"/>
    </row>
    <row r="529" spans="1:11" s="192" customFormat="1" ht="15.75" x14ac:dyDescent="0.25">
      <c r="A529" s="394" t="s">
        <v>583</v>
      </c>
      <c r="B529" s="391">
        <v>903</v>
      </c>
      <c r="C529" s="395" t="s">
        <v>238</v>
      </c>
      <c r="D529" s="395" t="s">
        <v>213</v>
      </c>
      <c r="E529" s="395"/>
      <c r="F529" s="395"/>
      <c r="G529" s="393">
        <f>G530+G546</f>
        <v>5633.9500000000007</v>
      </c>
      <c r="H529" s="393">
        <f t="shared" ref="H529" si="260">H530+H546</f>
        <v>5624.9350000000004</v>
      </c>
      <c r="I529" s="393">
        <f t="shared" si="257"/>
        <v>99.839987930315317</v>
      </c>
      <c r="J529" s="413"/>
      <c r="K529" s="401"/>
    </row>
    <row r="530" spans="1:11" s="192" customFormat="1" ht="31.5" x14ac:dyDescent="0.25">
      <c r="A530" s="394" t="s">
        <v>1350</v>
      </c>
      <c r="B530" s="391">
        <v>903</v>
      </c>
      <c r="C530" s="395" t="s">
        <v>238</v>
      </c>
      <c r="D530" s="395" t="s">
        <v>213</v>
      </c>
      <c r="E530" s="395" t="s">
        <v>267</v>
      </c>
      <c r="F530" s="395"/>
      <c r="G530" s="393">
        <f>G531+G542</f>
        <v>5555.9500000000007</v>
      </c>
      <c r="H530" s="393">
        <f t="shared" ref="H530" si="261">H531+H542</f>
        <v>5546.9350000000004</v>
      </c>
      <c r="I530" s="393">
        <f t="shared" si="257"/>
        <v>99.837741520352054</v>
      </c>
      <c r="J530" s="413"/>
      <c r="K530" s="401"/>
    </row>
    <row r="531" spans="1:11" s="192" customFormat="1" ht="31.5" x14ac:dyDescent="0.25">
      <c r="A531" s="394" t="s">
        <v>1298</v>
      </c>
      <c r="B531" s="391">
        <v>903</v>
      </c>
      <c r="C531" s="395" t="s">
        <v>238</v>
      </c>
      <c r="D531" s="395" t="s">
        <v>213</v>
      </c>
      <c r="E531" s="395" t="s">
        <v>1201</v>
      </c>
      <c r="F531" s="395"/>
      <c r="G531" s="393">
        <f>G532+G539</f>
        <v>5294.35</v>
      </c>
      <c r="H531" s="393">
        <f t="shared" ref="H531" si="262">H532+H539</f>
        <v>5285.3670000000002</v>
      </c>
      <c r="I531" s="393">
        <f t="shared" si="257"/>
        <v>99.83032855780219</v>
      </c>
      <c r="J531" s="413"/>
      <c r="K531" s="401"/>
    </row>
    <row r="532" spans="1:11" s="192" customFormat="1" ht="15.75" x14ac:dyDescent="0.25">
      <c r="A532" s="396" t="s">
        <v>801</v>
      </c>
      <c r="B532" s="390">
        <v>903</v>
      </c>
      <c r="C532" s="392" t="s">
        <v>238</v>
      </c>
      <c r="D532" s="392" t="s">
        <v>213</v>
      </c>
      <c r="E532" s="392" t="s">
        <v>1202</v>
      </c>
      <c r="F532" s="392"/>
      <c r="G532" s="397">
        <f>G533+G535+G537</f>
        <v>5176.8</v>
      </c>
      <c r="H532" s="397">
        <f t="shared" ref="H532" si="263">H533+H535+H537</f>
        <v>5167.817</v>
      </c>
      <c r="I532" s="397">
        <f t="shared" si="257"/>
        <v>99.826475815175399</v>
      </c>
      <c r="J532" s="413"/>
      <c r="K532" s="401"/>
    </row>
    <row r="533" spans="1:11" s="192" customFormat="1" ht="63" x14ac:dyDescent="0.25">
      <c r="A533" s="396" t="s">
        <v>127</v>
      </c>
      <c r="B533" s="390">
        <v>903</v>
      </c>
      <c r="C533" s="392" t="s">
        <v>238</v>
      </c>
      <c r="D533" s="392" t="s">
        <v>213</v>
      </c>
      <c r="E533" s="392" t="s">
        <v>1202</v>
      </c>
      <c r="F533" s="392" t="s">
        <v>128</v>
      </c>
      <c r="G533" s="397">
        <f>G534</f>
        <v>4026.6</v>
      </c>
      <c r="H533" s="397">
        <f t="shared" ref="H533" si="264">H534</f>
        <v>4026.4110000000001</v>
      </c>
      <c r="I533" s="397">
        <f t="shared" si="257"/>
        <v>99.995306213679029</v>
      </c>
      <c r="J533" s="413"/>
      <c r="K533" s="401"/>
    </row>
    <row r="534" spans="1:11" s="192" customFormat="1" ht="15.75" x14ac:dyDescent="0.25">
      <c r="A534" s="396" t="s">
        <v>208</v>
      </c>
      <c r="B534" s="390">
        <v>903</v>
      </c>
      <c r="C534" s="392" t="s">
        <v>238</v>
      </c>
      <c r="D534" s="392" t="s">
        <v>213</v>
      </c>
      <c r="E534" s="392" t="s">
        <v>1202</v>
      </c>
      <c r="F534" s="392" t="s">
        <v>209</v>
      </c>
      <c r="G534" s="27">
        <f>4897.2-100+1.1-463.7-70.2-0.1-77.6+463.7-5+5-200-47.7-203.3-36.9-139.8+121.5-117.6</f>
        <v>4026.6</v>
      </c>
      <c r="H534" s="27">
        <v>4026.4110000000001</v>
      </c>
      <c r="I534" s="397">
        <f t="shared" si="257"/>
        <v>99.995306213679029</v>
      </c>
      <c r="J534" s="413"/>
      <c r="K534" s="413"/>
    </row>
    <row r="535" spans="1:11" s="192" customFormat="1" ht="31.5" x14ac:dyDescent="0.25">
      <c r="A535" s="396" t="s">
        <v>131</v>
      </c>
      <c r="B535" s="390">
        <v>903</v>
      </c>
      <c r="C535" s="392" t="s">
        <v>238</v>
      </c>
      <c r="D535" s="392" t="s">
        <v>213</v>
      </c>
      <c r="E535" s="392" t="s">
        <v>1202</v>
      </c>
      <c r="F535" s="392" t="s">
        <v>132</v>
      </c>
      <c r="G535" s="397">
        <f>G536</f>
        <v>1132.5</v>
      </c>
      <c r="H535" s="397">
        <f t="shared" ref="H535" si="265">H536</f>
        <v>1123.93</v>
      </c>
      <c r="I535" s="397">
        <f t="shared" si="257"/>
        <v>99.243267108167771</v>
      </c>
      <c r="J535" s="413"/>
      <c r="K535" s="401"/>
    </row>
    <row r="536" spans="1:11" s="192" customFormat="1" ht="31.5" x14ac:dyDescent="0.25">
      <c r="A536" s="396" t="s">
        <v>133</v>
      </c>
      <c r="B536" s="390">
        <v>903</v>
      </c>
      <c r="C536" s="392" t="s">
        <v>238</v>
      </c>
      <c r="D536" s="392" t="s">
        <v>213</v>
      </c>
      <c r="E536" s="392" t="s">
        <v>1202</v>
      </c>
      <c r="F536" s="392" t="s">
        <v>134</v>
      </c>
      <c r="G536" s="27">
        <f>1456-797-63.9-68+60+60+68+50+16.6+13-30+2.1+0.1+5-10+139.8+235-4.2</f>
        <v>1132.5</v>
      </c>
      <c r="H536" s="27">
        <v>1123.93</v>
      </c>
      <c r="I536" s="397">
        <f t="shared" si="257"/>
        <v>99.243267108167771</v>
      </c>
      <c r="J536" s="413"/>
      <c r="K536" s="401"/>
    </row>
    <row r="537" spans="1:11" s="192" customFormat="1" ht="15.75" x14ac:dyDescent="0.25">
      <c r="A537" s="396" t="s">
        <v>135</v>
      </c>
      <c r="B537" s="390">
        <v>903</v>
      </c>
      <c r="C537" s="392" t="s">
        <v>238</v>
      </c>
      <c r="D537" s="392" t="s">
        <v>213</v>
      </c>
      <c r="E537" s="392" t="s">
        <v>1202</v>
      </c>
      <c r="F537" s="392" t="s">
        <v>145</v>
      </c>
      <c r="G537" s="397">
        <f>G538</f>
        <v>17.700000000000003</v>
      </c>
      <c r="H537" s="397">
        <f t="shared" ref="H537" si="266">H538</f>
        <v>17.475999999999999</v>
      </c>
      <c r="I537" s="397">
        <f t="shared" si="257"/>
        <v>98.734463276836138</v>
      </c>
      <c r="J537" s="413"/>
      <c r="K537" s="401"/>
    </row>
    <row r="538" spans="1:11" s="192" customFormat="1" ht="15.75" x14ac:dyDescent="0.25">
      <c r="A538" s="396" t="s">
        <v>568</v>
      </c>
      <c r="B538" s="390">
        <v>903</v>
      </c>
      <c r="C538" s="392" t="s">
        <v>238</v>
      </c>
      <c r="D538" s="392" t="s">
        <v>213</v>
      </c>
      <c r="E538" s="392" t="s">
        <v>1202</v>
      </c>
      <c r="F538" s="392" t="s">
        <v>138</v>
      </c>
      <c r="G538" s="397">
        <f>30+0.1-12.4</f>
        <v>17.700000000000003</v>
      </c>
      <c r="H538" s="397">
        <v>17.475999999999999</v>
      </c>
      <c r="I538" s="397">
        <f t="shared" si="257"/>
        <v>98.734463276836138</v>
      </c>
      <c r="J538" s="413"/>
      <c r="K538" s="401"/>
    </row>
    <row r="539" spans="1:11" s="192" customFormat="1" ht="47.25" x14ac:dyDescent="0.25">
      <c r="A539" s="396" t="s">
        <v>1660</v>
      </c>
      <c r="B539" s="390">
        <v>903</v>
      </c>
      <c r="C539" s="392" t="s">
        <v>238</v>
      </c>
      <c r="D539" s="392" t="s">
        <v>213</v>
      </c>
      <c r="E539" s="392" t="s">
        <v>1661</v>
      </c>
      <c r="F539" s="392"/>
      <c r="G539" s="397">
        <f>G540</f>
        <v>117.55</v>
      </c>
      <c r="H539" s="397">
        <f t="shared" ref="H539:H540" si="267">H540</f>
        <v>117.55</v>
      </c>
      <c r="I539" s="397">
        <f t="shared" si="257"/>
        <v>100</v>
      </c>
      <c r="J539" s="413"/>
      <c r="K539" s="401"/>
    </row>
    <row r="540" spans="1:11" s="192" customFormat="1" ht="63" x14ac:dyDescent="0.25">
      <c r="A540" s="396" t="s">
        <v>127</v>
      </c>
      <c r="B540" s="390">
        <v>903</v>
      </c>
      <c r="C540" s="392" t="s">
        <v>238</v>
      </c>
      <c r="D540" s="392" t="s">
        <v>213</v>
      </c>
      <c r="E540" s="392" t="s">
        <v>1661</v>
      </c>
      <c r="F540" s="392" t="s">
        <v>128</v>
      </c>
      <c r="G540" s="397">
        <f>G541</f>
        <v>117.55</v>
      </c>
      <c r="H540" s="397">
        <f t="shared" si="267"/>
        <v>117.55</v>
      </c>
      <c r="I540" s="397">
        <f t="shared" si="257"/>
        <v>100</v>
      </c>
      <c r="J540" s="413"/>
      <c r="K540" s="401"/>
    </row>
    <row r="541" spans="1:11" s="192" customFormat="1" ht="15.75" x14ac:dyDescent="0.25">
      <c r="A541" s="46" t="s">
        <v>342</v>
      </c>
      <c r="B541" s="390">
        <v>903</v>
      </c>
      <c r="C541" s="392" t="s">
        <v>238</v>
      </c>
      <c r="D541" s="392" t="s">
        <v>213</v>
      </c>
      <c r="E541" s="392" t="s">
        <v>1661</v>
      </c>
      <c r="F541" s="392" t="s">
        <v>209</v>
      </c>
      <c r="G541" s="397">
        <v>117.55</v>
      </c>
      <c r="H541" s="397">
        <v>117.55</v>
      </c>
      <c r="I541" s="397">
        <f t="shared" si="257"/>
        <v>100</v>
      </c>
      <c r="J541" s="413"/>
      <c r="K541" s="401"/>
    </row>
    <row r="542" spans="1:11" s="192" customFormat="1" ht="31.5" x14ac:dyDescent="0.25">
      <c r="A542" s="394" t="s">
        <v>946</v>
      </c>
      <c r="B542" s="391">
        <v>903</v>
      </c>
      <c r="C542" s="395" t="s">
        <v>238</v>
      </c>
      <c r="D542" s="395" t="s">
        <v>213</v>
      </c>
      <c r="E542" s="395" t="s">
        <v>1206</v>
      </c>
      <c r="F542" s="395"/>
      <c r="G542" s="393">
        <f>G543</f>
        <v>261.60000000000002</v>
      </c>
      <c r="H542" s="393">
        <f t="shared" ref="H542:H544" si="268">H543</f>
        <v>261.56799999999998</v>
      </c>
      <c r="I542" s="393">
        <f t="shared" si="257"/>
        <v>99.987767584097838</v>
      </c>
      <c r="J542" s="413"/>
      <c r="K542" s="401"/>
    </row>
    <row r="543" spans="1:11" s="192" customFormat="1" ht="31.5" x14ac:dyDescent="0.25">
      <c r="A543" s="396" t="s">
        <v>838</v>
      </c>
      <c r="B543" s="390">
        <v>903</v>
      </c>
      <c r="C543" s="392" t="s">
        <v>238</v>
      </c>
      <c r="D543" s="392" t="s">
        <v>213</v>
      </c>
      <c r="E543" s="392" t="s">
        <v>1207</v>
      </c>
      <c r="F543" s="392"/>
      <c r="G543" s="397">
        <f>G544</f>
        <v>261.60000000000002</v>
      </c>
      <c r="H543" s="397">
        <f t="shared" si="268"/>
        <v>261.56799999999998</v>
      </c>
      <c r="I543" s="397">
        <f t="shared" si="257"/>
        <v>99.987767584097838</v>
      </c>
      <c r="J543" s="413"/>
      <c r="K543" s="401"/>
    </row>
    <row r="544" spans="1:11" s="192" customFormat="1" ht="63" x14ac:dyDescent="0.25">
      <c r="A544" s="396" t="s">
        <v>127</v>
      </c>
      <c r="B544" s="390">
        <v>903</v>
      </c>
      <c r="C544" s="392" t="s">
        <v>238</v>
      </c>
      <c r="D544" s="392" t="s">
        <v>213</v>
      </c>
      <c r="E544" s="392" t="s">
        <v>1207</v>
      </c>
      <c r="F544" s="392" t="s">
        <v>128</v>
      </c>
      <c r="G544" s="397">
        <f>G545</f>
        <v>261.60000000000002</v>
      </c>
      <c r="H544" s="397">
        <f t="shared" si="268"/>
        <v>261.56799999999998</v>
      </c>
      <c r="I544" s="397">
        <f t="shared" si="257"/>
        <v>99.987767584097838</v>
      </c>
      <c r="J544" s="413"/>
      <c r="K544" s="401"/>
    </row>
    <row r="545" spans="1:11" s="192" customFormat="1" ht="15.75" x14ac:dyDescent="0.25">
      <c r="A545" s="396" t="s">
        <v>208</v>
      </c>
      <c r="B545" s="390">
        <v>903</v>
      </c>
      <c r="C545" s="392" t="s">
        <v>238</v>
      </c>
      <c r="D545" s="392" t="s">
        <v>213</v>
      </c>
      <c r="E545" s="392" t="s">
        <v>1207</v>
      </c>
      <c r="F545" s="392" t="s">
        <v>209</v>
      </c>
      <c r="G545" s="397">
        <f>276-75.2+57.2+4.3-0.7</f>
        <v>261.60000000000002</v>
      </c>
      <c r="H545" s="397">
        <v>261.56799999999998</v>
      </c>
      <c r="I545" s="397">
        <f t="shared" si="257"/>
        <v>99.987767584097838</v>
      </c>
      <c r="J545" s="413"/>
      <c r="K545" s="401"/>
    </row>
    <row r="546" spans="1:11" s="192" customFormat="1" ht="47.25" x14ac:dyDescent="0.25">
      <c r="A546" s="400" t="s">
        <v>1340</v>
      </c>
      <c r="B546" s="391">
        <v>903</v>
      </c>
      <c r="C546" s="395" t="s">
        <v>238</v>
      </c>
      <c r="D546" s="395" t="s">
        <v>213</v>
      </c>
      <c r="E546" s="395" t="s">
        <v>705</v>
      </c>
      <c r="F546" s="403"/>
      <c r="G546" s="393">
        <f>G548</f>
        <v>78</v>
      </c>
      <c r="H546" s="393">
        <f t="shared" ref="H546" si="269">H548</f>
        <v>78</v>
      </c>
      <c r="I546" s="393">
        <f t="shared" si="257"/>
        <v>100</v>
      </c>
      <c r="J546" s="413"/>
      <c r="K546" s="401"/>
    </row>
    <row r="547" spans="1:11" s="192" customFormat="1" ht="47.25" x14ac:dyDescent="0.25">
      <c r="A547" s="400" t="s">
        <v>889</v>
      </c>
      <c r="B547" s="391">
        <v>903</v>
      </c>
      <c r="C547" s="395" t="s">
        <v>238</v>
      </c>
      <c r="D547" s="395" t="s">
        <v>213</v>
      </c>
      <c r="E547" s="395" t="s">
        <v>887</v>
      </c>
      <c r="F547" s="403"/>
      <c r="G547" s="393">
        <f>G548</f>
        <v>78</v>
      </c>
      <c r="H547" s="393">
        <f t="shared" ref="H547:H549" si="270">H548</f>
        <v>78</v>
      </c>
      <c r="I547" s="393">
        <f t="shared" si="257"/>
        <v>100</v>
      </c>
      <c r="J547" s="413"/>
      <c r="K547" s="401"/>
    </row>
    <row r="548" spans="1:11" s="192" customFormat="1" ht="31.5" x14ac:dyDescent="0.25">
      <c r="A548" s="98" t="s">
        <v>1003</v>
      </c>
      <c r="B548" s="390">
        <v>903</v>
      </c>
      <c r="C548" s="392" t="s">
        <v>238</v>
      </c>
      <c r="D548" s="392" t="s">
        <v>213</v>
      </c>
      <c r="E548" s="392" t="s">
        <v>888</v>
      </c>
      <c r="F548" s="398"/>
      <c r="G548" s="397">
        <f>G549</f>
        <v>78</v>
      </c>
      <c r="H548" s="397">
        <f t="shared" si="270"/>
        <v>78</v>
      </c>
      <c r="I548" s="397">
        <f t="shared" si="257"/>
        <v>100</v>
      </c>
      <c r="J548" s="413"/>
      <c r="K548" s="401"/>
    </row>
    <row r="549" spans="1:11" s="192" customFormat="1" ht="31.5" x14ac:dyDescent="0.25">
      <c r="A549" s="396" t="s">
        <v>131</v>
      </c>
      <c r="B549" s="390">
        <v>903</v>
      </c>
      <c r="C549" s="392" t="s">
        <v>238</v>
      </c>
      <c r="D549" s="392" t="s">
        <v>213</v>
      </c>
      <c r="E549" s="392" t="s">
        <v>888</v>
      </c>
      <c r="F549" s="398" t="s">
        <v>132</v>
      </c>
      <c r="G549" s="397">
        <f>G550</f>
        <v>78</v>
      </c>
      <c r="H549" s="397">
        <f t="shared" si="270"/>
        <v>78</v>
      </c>
      <c r="I549" s="397">
        <f t="shared" si="257"/>
        <v>100</v>
      </c>
      <c r="J549" s="413"/>
      <c r="K549" s="401"/>
    </row>
    <row r="550" spans="1:11" s="192" customFormat="1" ht="31.5" x14ac:dyDescent="0.25">
      <c r="A550" s="396" t="s">
        <v>133</v>
      </c>
      <c r="B550" s="390">
        <v>903</v>
      </c>
      <c r="C550" s="392" t="s">
        <v>238</v>
      </c>
      <c r="D550" s="392" t="s">
        <v>213</v>
      </c>
      <c r="E550" s="392" t="s">
        <v>888</v>
      </c>
      <c r="F550" s="398" t="s">
        <v>134</v>
      </c>
      <c r="G550" s="397">
        <f>72+6</f>
        <v>78</v>
      </c>
      <c r="H550" s="397">
        <v>78</v>
      </c>
      <c r="I550" s="397">
        <f t="shared" si="257"/>
        <v>100</v>
      </c>
      <c r="J550" s="413"/>
      <c r="K550" s="401"/>
    </row>
    <row r="551" spans="1:11" s="192" customFormat="1" ht="31.5" x14ac:dyDescent="0.25">
      <c r="A551" s="394" t="s">
        <v>1645</v>
      </c>
      <c r="B551" s="391">
        <v>904</v>
      </c>
      <c r="C551" s="395"/>
      <c r="D551" s="395"/>
      <c r="E551" s="395"/>
      <c r="F551" s="403"/>
      <c r="G551" s="393">
        <f>G553</f>
        <v>826.04</v>
      </c>
      <c r="H551" s="393">
        <f t="shared" ref="H551" si="271">H553</f>
        <v>693.44400000000007</v>
      </c>
      <c r="I551" s="393">
        <f t="shared" si="257"/>
        <v>83.947992833276857</v>
      </c>
      <c r="J551" s="413"/>
      <c r="K551" s="401"/>
    </row>
    <row r="552" spans="1:11" s="192" customFormat="1" ht="15.75" x14ac:dyDescent="0.25">
      <c r="A552" s="394" t="s">
        <v>117</v>
      </c>
      <c r="B552" s="391">
        <v>904</v>
      </c>
      <c r="C552" s="395" t="s">
        <v>118</v>
      </c>
      <c r="D552" s="395"/>
      <c r="E552" s="395"/>
      <c r="F552" s="403"/>
      <c r="G552" s="393">
        <f>G553</f>
        <v>826.04</v>
      </c>
      <c r="H552" s="393">
        <f t="shared" ref="H552:H554" si="272">H553</f>
        <v>693.44400000000007</v>
      </c>
      <c r="I552" s="393">
        <f t="shared" si="257"/>
        <v>83.947992833276857</v>
      </c>
      <c r="J552" s="413"/>
      <c r="K552" s="401"/>
    </row>
    <row r="553" spans="1:11" s="192" customFormat="1" ht="47.25" x14ac:dyDescent="0.25">
      <c r="A553" s="394" t="s">
        <v>119</v>
      </c>
      <c r="B553" s="391">
        <v>904</v>
      </c>
      <c r="C553" s="395" t="s">
        <v>118</v>
      </c>
      <c r="D553" s="395" t="s">
        <v>120</v>
      </c>
      <c r="E553" s="395"/>
      <c r="F553" s="395"/>
      <c r="G553" s="393">
        <f>G554</f>
        <v>826.04</v>
      </c>
      <c r="H553" s="393">
        <f t="shared" si="272"/>
        <v>693.44400000000007</v>
      </c>
      <c r="I553" s="393">
        <f t="shared" si="257"/>
        <v>83.947992833276857</v>
      </c>
      <c r="J553" s="413"/>
      <c r="K553" s="401"/>
    </row>
    <row r="554" spans="1:11" s="192" customFormat="1" ht="31.5" x14ac:dyDescent="0.25">
      <c r="A554" s="394" t="s">
        <v>916</v>
      </c>
      <c r="B554" s="391">
        <v>904</v>
      </c>
      <c r="C554" s="395" t="s">
        <v>118</v>
      </c>
      <c r="D554" s="395" t="s">
        <v>120</v>
      </c>
      <c r="E554" s="395" t="s">
        <v>857</v>
      </c>
      <c r="F554" s="395"/>
      <c r="G554" s="393">
        <f>G555</f>
        <v>826.04</v>
      </c>
      <c r="H554" s="393">
        <f t="shared" si="272"/>
        <v>693.44400000000007</v>
      </c>
      <c r="I554" s="393">
        <f t="shared" si="257"/>
        <v>83.947992833276857</v>
      </c>
      <c r="J554" s="413"/>
      <c r="K554" s="401"/>
    </row>
    <row r="555" spans="1:11" s="192" customFormat="1" ht="31.5" x14ac:dyDescent="0.25">
      <c r="A555" s="394" t="s">
        <v>1646</v>
      </c>
      <c r="B555" s="391">
        <v>904</v>
      </c>
      <c r="C555" s="395" t="s">
        <v>118</v>
      </c>
      <c r="D555" s="395" t="s">
        <v>120</v>
      </c>
      <c r="E555" s="395" t="s">
        <v>1647</v>
      </c>
      <c r="F555" s="395"/>
      <c r="G555" s="393">
        <f>G556+G561+G564</f>
        <v>826.04</v>
      </c>
      <c r="H555" s="393">
        <f t="shared" ref="H555" si="273">H556+H561+H564</f>
        <v>693.44400000000007</v>
      </c>
      <c r="I555" s="393">
        <f t="shared" si="257"/>
        <v>83.947992833276857</v>
      </c>
      <c r="J555" s="413"/>
      <c r="K555" s="401"/>
    </row>
    <row r="556" spans="1:11" s="445" customFormat="1" ht="31.5" x14ac:dyDescent="0.25">
      <c r="A556" s="396" t="s">
        <v>896</v>
      </c>
      <c r="B556" s="390">
        <v>904</v>
      </c>
      <c r="C556" s="392" t="s">
        <v>118</v>
      </c>
      <c r="D556" s="392" t="s">
        <v>120</v>
      </c>
      <c r="E556" s="392" t="s">
        <v>1650</v>
      </c>
      <c r="F556" s="392"/>
      <c r="G556" s="397">
        <f>G557+G559</f>
        <v>185</v>
      </c>
      <c r="H556" s="397">
        <f t="shared" ref="H556" si="274">H557+H559</f>
        <v>145.81700000000001</v>
      </c>
      <c r="I556" s="397">
        <f t="shared" si="257"/>
        <v>78.820000000000007</v>
      </c>
      <c r="J556" s="444"/>
      <c r="K556" s="443"/>
    </row>
    <row r="557" spans="1:11" s="445" customFormat="1" ht="63" x14ac:dyDescent="0.25">
      <c r="A557" s="396" t="s">
        <v>127</v>
      </c>
      <c r="B557" s="390">
        <v>904</v>
      </c>
      <c r="C557" s="392" t="s">
        <v>118</v>
      </c>
      <c r="D557" s="392" t="s">
        <v>120</v>
      </c>
      <c r="E557" s="392" t="s">
        <v>1650</v>
      </c>
      <c r="F557" s="392" t="s">
        <v>128</v>
      </c>
      <c r="G557" s="397">
        <f>G558</f>
        <v>161.69999999999999</v>
      </c>
      <c r="H557" s="397">
        <f t="shared" ref="H557" si="275">H558</f>
        <v>135.17099999999999</v>
      </c>
      <c r="I557" s="397">
        <f t="shared" si="257"/>
        <v>83.593692022263454</v>
      </c>
      <c r="J557" s="444"/>
      <c r="K557" s="443"/>
    </row>
    <row r="558" spans="1:11" s="445" customFormat="1" ht="31.5" x14ac:dyDescent="0.25">
      <c r="A558" s="396" t="s">
        <v>129</v>
      </c>
      <c r="B558" s="390">
        <v>904</v>
      </c>
      <c r="C558" s="392" t="s">
        <v>118</v>
      </c>
      <c r="D558" s="392" t="s">
        <v>120</v>
      </c>
      <c r="E558" s="392" t="s">
        <v>1650</v>
      </c>
      <c r="F558" s="392" t="s">
        <v>130</v>
      </c>
      <c r="G558" s="397">
        <f>74.2+22+65.5</f>
        <v>161.69999999999999</v>
      </c>
      <c r="H558" s="397">
        <v>135.17099999999999</v>
      </c>
      <c r="I558" s="397">
        <f t="shared" si="257"/>
        <v>83.593692022263454</v>
      </c>
      <c r="J558" s="444"/>
      <c r="K558" s="443"/>
    </row>
    <row r="559" spans="1:11" s="445" customFormat="1" ht="31.5" x14ac:dyDescent="0.25">
      <c r="A559" s="396" t="s">
        <v>198</v>
      </c>
      <c r="B559" s="390">
        <v>904</v>
      </c>
      <c r="C559" s="392" t="s">
        <v>118</v>
      </c>
      <c r="D559" s="392" t="s">
        <v>120</v>
      </c>
      <c r="E559" s="392" t="s">
        <v>1650</v>
      </c>
      <c r="F559" s="392" t="s">
        <v>132</v>
      </c>
      <c r="G559" s="397">
        <f>G560</f>
        <v>23.3</v>
      </c>
      <c r="H559" s="397">
        <f t="shared" ref="H559" si="276">H560</f>
        <v>10.646000000000001</v>
      </c>
      <c r="I559" s="397">
        <f t="shared" si="257"/>
        <v>45.690987124463526</v>
      </c>
      <c r="J559" s="444"/>
      <c r="K559" s="443"/>
    </row>
    <row r="560" spans="1:11" s="192" customFormat="1" ht="31.5" x14ac:dyDescent="0.25">
      <c r="A560" s="396" t="s">
        <v>133</v>
      </c>
      <c r="B560" s="390">
        <v>904</v>
      </c>
      <c r="C560" s="392" t="s">
        <v>118</v>
      </c>
      <c r="D560" s="392" t="s">
        <v>120</v>
      </c>
      <c r="E560" s="392" t="s">
        <v>1650</v>
      </c>
      <c r="F560" s="392" t="s">
        <v>134</v>
      </c>
      <c r="G560" s="397">
        <f>18+5.3</f>
        <v>23.3</v>
      </c>
      <c r="H560" s="397">
        <v>10.646000000000001</v>
      </c>
      <c r="I560" s="397">
        <f t="shared" si="257"/>
        <v>45.690987124463526</v>
      </c>
      <c r="J560" s="413"/>
      <c r="K560" s="401"/>
    </row>
    <row r="561" spans="1:12" s="192" customFormat="1" ht="47.25" x14ac:dyDescent="0.25">
      <c r="A561" s="396" t="s">
        <v>1648</v>
      </c>
      <c r="B561" s="390">
        <v>904</v>
      </c>
      <c r="C561" s="392" t="s">
        <v>118</v>
      </c>
      <c r="D561" s="392" t="s">
        <v>120</v>
      </c>
      <c r="E561" s="392" t="s">
        <v>1649</v>
      </c>
      <c r="F561" s="392"/>
      <c r="G561" s="397">
        <f>G562</f>
        <v>549.9</v>
      </c>
      <c r="H561" s="397">
        <f t="shared" ref="H561:H562" si="277">H562</f>
        <v>456.48700000000002</v>
      </c>
      <c r="I561" s="397">
        <f t="shared" si="257"/>
        <v>83.012729587197668</v>
      </c>
      <c r="J561" s="413"/>
      <c r="K561" s="401"/>
    </row>
    <row r="562" spans="1:12" s="192" customFormat="1" ht="63" x14ac:dyDescent="0.25">
      <c r="A562" s="396" t="s">
        <v>127</v>
      </c>
      <c r="B562" s="390">
        <v>904</v>
      </c>
      <c r="C562" s="392" t="s">
        <v>118</v>
      </c>
      <c r="D562" s="392" t="s">
        <v>120</v>
      </c>
      <c r="E562" s="392" t="s">
        <v>1649</v>
      </c>
      <c r="F562" s="392" t="s">
        <v>128</v>
      </c>
      <c r="G562" s="397">
        <f>G563</f>
        <v>549.9</v>
      </c>
      <c r="H562" s="397">
        <f t="shared" si="277"/>
        <v>456.48700000000002</v>
      </c>
      <c r="I562" s="397">
        <f t="shared" si="257"/>
        <v>83.012729587197668</v>
      </c>
      <c r="J562" s="413"/>
      <c r="K562" s="401"/>
    </row>
    <row r="563" spans="1:12" s="192" customFormat="1" ht="31.5" x14ac:dyDescent="0.25">
      <c r="A563" s="396" t="s">
        <v>129</v>
      </c>
      <c r="B563" s="390">
        <v>904</v>
      </c>
      <c r="C563" s="392" t="s">
        <v>118</v>
      </c>
      <c r="D563" s="392" t="s">
        <v>120</v>
      </c>
      <c r="E563" s="392" t="s">
        <v>1649</v>
      </c>
      <c r="F563" s="392" t="s">
        <v>130</v>
      </c>
      <c r="G563" s="397">
        <f>229.504+7.1+53.4+8.196+17.2+234.5</f>
        <v>549.9</v>
      </c>
      <c r="H563" s="397">
        <v>456.48700000000002</v>
      </c>
      <c r="I563" s="397">
        <f t="shared" si="257"/>
        <v>83.012729587197668</v>
      </c>
      <c r="J563" s="413"/>
      <c r="K563" s="401"/>
    </row>
    <row r="564" spans="1:12" s="192" customFormat="1" ht="31.5" x14ac:dyDescent="0.25">
      <c r="A564" s="396" t="s">
        <v>1677</v>
      </c>
      <c r="B564" s="390">
        <v>904</v>
      </c>
      <c r="C564" s="392" t="s">
        <v>118</v>
      </c>
      <c r="D564" s="392" t="s">
        <v>120</v>
      </c>
      <c r="E564" s="392" t="s">
        <v>1682</v>
      </c>
      <c r="F564" s="392"/>
      <c r="G564" s="397">
        <f>G565</f>
        <v>91.14</v>
      </c>
      <c r="H564" s="397">
        <f t="shared" ref="H564:H565" si="278">H565</f>
        <v>91.14</v>
      </c>
      <c r="I564" s="397">
        <f t="shared" si="257"/>
        <v>100</v>
      </c>
      <c r="J564" s="413"/>
      <c r="K564" s="401"/>
    </row>
    <row r="565" spans="1:12" s="192" customFormat="1" ht="63" x14ac:dyDescent="0.25">
      <c r="A565" s="396" t="s">
        <v>127</v>
      </c>
      <c r="B565" s="390">
        <v>904</v>
      </c>
      <c r="C565" s="392" t="s">
        <v>118</v>
      </c>
      <c r="D565" s="392" t="s">
        <v>120</v>
      </c>
      <c r="E565" s="392" t="s">
        <v>1682</v>
      </c>
      <c r="F565" s="392" t="s">
        <v>128</v>
      </c>
      <c r="G565" s="397">
        <f>G566</f>
        <v>91.14</v>
      </c>
      <c r="H565" s="397">
        <f t="shared" si="278"/>
        <v>91.14</v>
      </c>
      <c r="I565" s="397">
        <f t="shared" si="257"/>
        <v>100</v>
      </c>
      <c r="J565" s="413"/>
      <c r="K565" s="401"/>
    </row>
    <row r="566" spans="1:12" s="192" customFormat="1" ht="31.5" x14ac:dyDescent="0.25">
      <c r="A566" s="396" t="s">
        <v>129</v>
      </c>
      <c r="B566" s="390">
        <v>904</v>
      </c>
      <c r="C566" s="392" t="s">
        <v>118</v>
      </c>
      <c r="D566" s="392" t="s">
        <v>120</v>
      </c>
      <c r="E566" s="392" t="s">
        <v>1682</v>
      </c>
      <c r="F566" s="392" t="s">
        <v>130</v>
      </c>
      <c r="G566" s="397">
        <f>143.22-52.08</f>
        <v>91.14</v>
      </c>
      <c r="H566" s="397">
        <v>91.14</v>
      </c>
      <c r="I566" s="397">
        <f t="shared" si="257"/>
        <v>100</v>
      </c>
      <c r="J566" s="413"/>
      <c r="K566" s="401"/>
    </row>
    <row r="567" spans="1:12" ht="31.5" x14ac:dyDescent="0.25">
      <c r="A567" s="391" t="s">
        <v>387</v>
      </c>
      <c r="B567" s="391">
        <v>905</v>
      </c>
      <c r="C567" s="392"/>
      <c r="D567" s="392"/>
      <c r="E567" s="392"/>
      <c r="F567" s="392"/>
      <c r="G567" s="393">
        <f>G568+G605+G615</f>
        <v>26387.643400000001</v>
      </c>
      <c r="H567" s="393">
        <f>H568+H605+H615</f>
        <v>25561.087</v>
      </c>
      <c r="I567" s="393">
        <f t="shared" si="257"/>
        <v>96.867638434131635</v>
      </c>
      <c r="J567" s="413"/>
      <c r="K567" s="401"/>
      <c r="L567" s="192"/>
    </row>
    <row r="568" spans="1:12" ht="15.75" x14ac:dyDescent="0.25">
      <c r="A568" s="394" t="s">
        <v>117</v>
      </c>
      <c r="B568" s="391">
        <v>905</v>
      </c>
      <c r="C568" s="395" t="s">
        <v>118</v>
      </c>
      <c r="D568" s="392"/>
      <c r="E568" s="392"/>
      <c r="F568" s="392"/>
      <c r="G568" s="393">
        <f>G569+G589</f>
        <v>26062.243399999999</v>
      </c>
      <c r="H568" s="393">
        <f t="shared" ref="H568" si="279">H569+H589</f>
        <v>25235.686999999998</v>
      </c>
      <c r="I568" s="393">
        <f t="shared" si="257"/>
        <v>96.828529350623739</v>
      </c>
      <c r="J568" s="413"/>
      <c r="K568" s="401"/>
      <c r="L568" s="192"/>
    </row>
    <row r="569" spans="1:12" ht="65.25" customHeight="1" x14ac:dyDescent="0.25">
      <c r="A569" s="394" t="s">
        <v>149</v>
      </c>
      <c r="B569" s="391">
        <v>905</v>
      </c>
      <c r="C569" s="395" t="s">
        <v>118</v>
      </c>
      <c r="D569" s="395" t="s">
        <v>150</v>
      </c>
      <c r="E569" s="395"/>
      <c r="F569" s="395"/>
      <c r="G569" s="393">
        <f>G570</f>
        <v>12986.283399999998</v>
      </c>
      <c r="H569" s="393">
        <f t="shared" ref="H569" si="280">H570</f>
        <v>12956.113999999998</v>
      </c>
      <c r="I569" s="393">
        <f t="shared" si="257"/>
        <v>99.767682568824881</v>
      </c>
      <c r="J569" s="413"/>
      <c r="K569" s="401"/>
      <c r="L569" s="192"/>
    </row>
    <row r="570" spans="1:12" ht="31.5" x14ac:dyDescent="0.25">
      <c r="A570" s="394" t="s">
        <v>916</v>
      </c>
      <c r="B570" s="391">
        <v>905</v>
      </c>
      <c r="C570" s="395" t="s">
        <v>118</v>
      </c>
      <c r="D570" s="395" t="s">
        <v>150</v>
      </c>
      <c r="E570" s="395" t="s">
        <v>857</v>
      </c>
      <c r="F570" s="395"/>
      <c r="G570" s="393">
        <f>G571+G582</f>
        <v>12986.283399999998</v>
      </c>
      <c r="H570" s="393">
        <f t="shared" ref="H570" si="281">H571+H582</f>
        <v>12956.113999999998</v>
      </c>
      <c r="I570" s="393">
        <f t="shared" si="257"/>
        <v>99.767682568824881</v>
      </c>
      <c r="J570" s="413"/>
      <c r="K570" s="401"/>
      <c r="L570" s="192"/>
    </row>
    <row r="571" spans="1:12" ht="15.75" x14ac:dyDescent="0.25">
      <c r="A571" s="394" t="s">
        <v>917</v>
      </c>
      <c r="B571" s="391">
        <v>905</v>
      </c>
      <c r="C571" s="395" t="s">
        <v>118</v>
      </c>
      <c r="D571" s="395" t="s">
        <v>150</v>
      </c>
      <c r="E571" s="395" t="s">
        <v>858</v>
      </c>
      <c r="F571" s="395"/>
      <c r="G571" s="393">
        <f>G572+G579+G586</f>
        <v>12986.283399999998</v>
      </c>
      <c r="H571" s="393">
        <f t="shared" ref="H571" si="282">H572+H579+H586</f>
        <v>12956.113999999998</v>
      </c>
      <c r="I571" s="393">
        <f t="shared" si="257"/>
        <v>99.767682568824881</v>
      </c>
      <c r="J571" s="413"/>
      <c r="K571" s="401"/>
      <c r="L571" s="192"/>
    </row>
    <row r="572" spans="1:12" ht="28.5" customHeight="1" x14ac:dyDescent="0.25">
      <c r="A572" s="396" t="s">
        <v>896</v>
      </c>
      <c r="B572" s="390">
        <v>905</v>
      </c>
      <c r="C572" s="392" t="s">
        <v>118</v>
      </c>
      <c r="D572" s="392" t="s">
        <v>150</v>
      </c>
      <c r="E572" s="392" t="s">
        <v>859</v>
      </c>
      <c r="F572" s="392"/>
      <c r="G572" s="397">
        <f>G573+G575+G577</f>
        <v>12274.949999999999</v>
      </c>
      <c r="H572" s="397">
        <f t="shared" ref="H572" si="283">H573+H575+H577</f>
        <v>12245.653999999999</v>
      </c>
      <c r="I572" s="397">
        <f t="shared" si="257"/>
        <v>99.761335076721295</v>
      </c>
      <c r="J572" s="413"/>
      <c r="K572" s="401"/>
      <c r="L572" s="192"/>
    </row>
    <row r="573" spans="1:12" ht="63" x14ac:dyDescent="0.25">
      <c r="A573" s="396" t="s">
        <v>127</v>
      </c>
      <c r="B573" s="390">
        <v>905</v>
      </c>
      <c r="C573" s="392" t="s">
        <v>118</v>
      </c>
      <c r="D573" s="392" t="s">
        <v>150</v>
      </c>
      <c r="E573" s="392" t="s">
        <v>859</v>
      </c>
      <c r="F573" s="392" t="s">
        <v>128</v>
      </c>
      <c r="G573" s="397">
        <f>G574</f>
        <v>11548.449999999999</v>
      </c>
      <c r="H573" s="397">
        <f t="shared" ref="H573" si="284">H574</f>
        <v>11539.066999999999</v>
      </c>
      <c r="I573" s="397">
        <f t="shared" si="257"/>
        <v>99.918751001216606</v>
      </c>
      <c r="J573" s="413"/>
      <c r="K573" s="401"/>
      <c r="L573" s="192"/>
    </row>
    <row r="574" spans="1:12" ht="31.5" x14ac:dyDescent="0.25">
      <c r="A574" s="396" t="s">
        <v>129</v>
      </c>
      <c r="B574" s="390">
        <v>905</v>
      </c>
      <c r="C574" s="392" t="s">
        <v>118</v>
      </c>
      <c r="D574" s="392" t="s">
        <v>150</v>
      </c>
      <c r="E574" s="392" t="s">
        <v>859</v>
      </c>
      <c r="F574" s="392" t="s">
        <v>130</v>
      </c>
      <c r="G574" s="27">
        <f>11111.6-6-6+512.7+153.3-169.1+48.05-96.1</f>
        <v>11548.449999999999</v>
      </c>
      <c r="H574" s="27">
        <v>11539.066999999999</v>
      </c>
      <c r="I574" s="397">
        <f t="shared" si="257"/>
        <v>99.918751001216606</v>
      </c>
      <c r="J574" s="413"/>
      <c r="K574" s="413"/>
      <c r="L574" s="414"/>
    </row>
    <row r="575" spans="1:12" ht="31.5" x14ac:dyDescent="0.25">
      <c r="A575" s="396" t="s">
        <v>131</v>
      </c>
      <c r="B575" s="390">
        <v>905</v>
      </c>
      <c r="C575" s="392" t="s">
        <v>118</v>
      </c>
      <c r="D575" s="392" t="s">
        <v>150</v>
      </c>
      <c r="E575" s="392" t="s">
        <v>859</v>
      </c>
      <c r="F575" s="392" t="s">
        <v>132</v>
      </c>
      <c r="G575" s="397">
        <f>G576</f>
        <v>549.69999999999993</v>
      </c>
      <c r="H575" s="397">
        <f t="shared" ref="H575" si="285">H576</f>
        <v>536.74900000000002</v>
      </c>
      <c r="I575" s="397">
        <f t="shared" si="257"/>
        <v>97.643987629616163</v>
      </c>
      <c r="J575" s="413"/>
      <c r="K575" s="401"/>
      <c r="L575" s="192"/>
    </row>
    <row r="576" spans="1:12" ht="31.5" x14ac:dyDescent="0.25">
      <c r="A576" s="396" t="s">
        <v>133</v>
      </c>
      <c r="B576" s="390">
        <v>905</v>
      </c>
      <c r="C576" s="392" t="s">
        <v>118</v>
      </c>
      <c r="D576" s="392" t="s">
        <v>150</v>
      </c>
      <c r="E576" s="392" t="s">
        <v>859</v>
      </c>
      <c r="F576" s="392" t="s">
        <v>134</v>
      </c>
      <c r="G576" s="27">
        <f>440+4.4+20+139.2-4.1-33.8-21+5</f>
        <v>549.69999999999993</v>
      </c>
      <c r="H576" s="27">
        <v>536.74900000000002</v>
      </c>
      <c r="I576" s="397">
        <f t="shared" si="257"/>
        <v>97.643987629616163</v>
      </c>
      <c r="J576" s="413"/>
      <c r="K576" s="413"/>
      <c r="L576" s="192"/>
    </row>
    <row r="577" spans="1:12" ht="15.75" x14ac:dyDescent="0.25">
      <c r="A577" s="396" t="s">
        <v>135</v>
      </c>
      <c r="B577" s="390">
        <v>905</v>
      </c>
      <c r="C577" s="392" t="s">
        <v>118</v>
      </c>
      <c r="D577" s="392" t="s">
        <v>150</v>
      </c>
      <c r="E577" s="392" t="s">
        <v>859</v>
      </c>
      <c r="F577" s="392" t="s">
        <v>145</v>
      </c>
      <c r="G577" s="397">
        <f>G578</f>
        <v>176.8</v>
      </c>
      <c r="H577" s="397">
        <f t="shared" ref="H577" si="286">H578</f>
        <v>169.83799999999999</v>
      </c>
      <c r="I577" s="397">
        <f t="shared" si="257"/>
        <v>96.062217194570124</v>
      </c>
      <c r="J577" s="413"/>
      <c r="K577" s="401"/>
      <c r="L577" s="192"/>
    </row>
    <row r="578" spans="1:12" ht="15.75" x14ac:dyDescent="0.25">
      <c r="A578" s="396" t="s">
        <v>568</v>
      </c>
      <c r="B578" s="390">
        <v>905</v>
      </c>
      <c r="C578" s="392" t="s">
        <v>118</v>
      </c>
      <c r="D578" s="392" t="s">
        <v>150</v>
      </c>
      <c r="E578" s="392" t="s">
        <v>859</v>
      </c>
      <c r="F578" s="392" t="s">
        <v>138</v>
      </c>
      <c r="G578" s="397">
        <f>8.8+7.5+20+30+65-0.3+6+6+6+33.8-6</f>
        <v>176.8</v>
      </c>
      <c r="H578" s="397">
        <v>169.83799999999999</v>
      </c>
      <c r="I578" s="397">
        <f t="shared" si="257"/>
        <v>96.062217194570124</v>
      </c>
      <c r="J578" s="413"/>
      <c r="K578" s="413"/>
      <c r="L578" s="414"/>
    </row>
    <row r="579" spans="1:12" s="192" customFormat="1" ht="31.5" x14ac:dyDescent="0.25">
      <c r="A579" s="396" t="s">
        <v>838</v>
      </c>
      <c r="B579" s="390">
        <v>905</v>
      </c>
      <c r="C579" s="392" t="s">
        <v>118</v>
      </c>
      <c r="D579" s="392" t="s">
        <v>150</v>
      </c>
      <c r="E579" s="392" t="s">
        <v>861</v>
      </c>
      <c r="F579" s="392"/>
      <c r="G579" s="397">
        <f>G580</f>
        <v>528.23</v>
      </c>
      <c r="H579" s="397">
        <f t="shared" ref="H579:H580" si="287">H580</f>
        <v>527.35699999999997</v>
      </c>
      <c r="I579" s="397">
        <f t="shared" si="257"/>
        <v>99.834731083050926</v>
      </c>
      <c r="J579" s="413"/>
      <c r="K579" s="401"/>
    </row>
    <row r="580" spans="1:12" s="192" customFormat="1" ht="63" x14ac:dyDescent="0.25">
      <c r="A580" s="396" t="s">
        <v>127</v>
      </c>
      <c r="B580" s="390">
        <v>905</v>
      </c>
      <c r="C580" s="392" t="s">
        <v>118</v>
      </c>
      <c r="D580" s="392" t="s">
        <v>150</v>
      </c>
      <c r="E580" s="392" t="s">
        <v>861</v>
      </c>
      <c r="F580" s="392" t="s">
        <v>128</v>
      </c>
      <c r="G580" s="397">
        <f>G581</f>
        <v>528.23</v>
      </c>
      <c r="H580" s="397">
        <f t="shared" si="287"/>
        <v>527.35699999999997</v>
      </c>
      <c r="I580" s="397">
        <f t="shared" si="257"/>
        <v>99.834731083050926</v>
      </c>
      <c r="J580" s="413"/>
      <c r="K580" s="401"/>
    </row>
    <row r="581" spans="1:12" s="192" customFormat="1" ht="31.5" x14ac:dyDescent="0.25">
      <c r="A581" s="396" t="s">
        <v>129</v>
      </c>
      <c r="B581" s="390">
        <v>905</v>
      </c>
      <c r="C581" s="392" t="s">
        <v>118</v>
      </c>
      <c r="D581" s="392" t="s">
        <v>150</v>
      </c>
      <c r="E581" s="392" t="s">
        <v>861</v>
      </c>
      <c r="F581" s="392" t="s">
        <v>130</v>
      </c>
      <c r="G581" s="397">
        <f>462+66.23</f>
        <v>528.23</v>
      </c>
      <c r="H581" s="397">
        <v>527.35699999999997</v>
      </c>
      <c r="I581" s="397">
        <f t="shared" si="257"/>
        <v>99.834731083050926</v>
      </c>
      <c r="J581" s="413"/>
      <c r="K581" s="401"/>
    </row>
    <row r="582" spans="1:12" s="192" customFormat="1" ht="31.5" hidden="1" x14ac:dyDescent="0.25">
      <c r="A582" s="394" t="s">
        <v>884</v>
      </c>
      <c r="B582" s="391">
        <v>905</v>
      </c>
      <c r="C582" s="395" t="s">
        <v>118</v>
      </c>
      <c r="D582" s="395" t="s">
        <v>150</v>
      </c>
      <c r="E582" s="395" t="s">
        <v>862</v>
      </c>
      <c r="F582" s="395"/>
      <c r="G582" s="393">
        <f>G583</f>
        <v>0</v>
      </c>
      <c r="H582" s="393">
        <f t="shared" ref="H582:H584" si="288">H583</f>
        <v>0</v>
      </c>
      <c r="I582" s="397" t="e">
        <f t="shared" si="257"/>
        <v>#DIV/0!</v>
      </c>
      <c r="J582" s="413"/>
      <c r="K582" s="401"/>
    </row>
    <row r="583" spans="1:12" s="192" customFormat="1" ht="77.45" hidden="1" customHeight="1" x14ac:dyDescent="0.25">
      <c r="A583" s="31" t="s">
        <v>1167</v>
      </c>
      <c r="B583" s="390">
        <v>905</v>
      </c>
      <c r="C583" s="392" t="s">
        <v>118</v>
      </c>
      <c r="D583" s="392" t="s">
        <v>150</v>
      </c>
      <c r="E583" s="392" t="s">
        <v>1166</v>
      </c>
      <c r="F583" s="392"/>
      <c r="G583" s="397">
        <f>G584</f>
        <v>0</v>
      </c>
      <c r="H583" s="397">
        <f t="shared" si="288"/>
        <v>0</v>
      </c>
      <c r="I583" s="397" t="e">
        <f t="shared" si="257"/>
        <v>#DIV/0!</v>
      </c>
      <c r="J583" s="413"/>
      <c r="K583" s="401"/>
    </row>
    <row r="584" spans="1:12" s="192" customFormat="1" ht="63" hidden="1" x14ac:dyDescent="0.25">
      <c r="A584" s="396" t="s">
        <v>127</v>
      </c>
      <c r="B584" s="390">
        <v>905</v>
      </c>
      <c r="C584" s="392" t="s">
        <v>118</v>
      </c>
      <c r="D584" s="392" t="s">
        <v>150</v>
      </c>
      <c r="E584" s="392" t="s">
        <v>1166</v>
      </c>
      <c r="F584" s="392" t="s">
        <v>128</v>
      </c>
      <c r="G584" s="397">
        <f>G585</f>
        <v>0</v>
      </c>
      <c r="H584" s="397">
        <f t="shared" si="288"/>
        <v>0</v>
      </c>
      <c r="I584" s="397" t="e">
        <f t="shared" si="257"/>
        <v>#DIV/0!</v>
      </c>
      <c r="J584" s="413"/>
      <c r="K584" s="401"/>
    </row>
    <row r="585" spans="1:12" s="192" customFormat="1" ht="31.5" hidden="1" x14ac:dyDescent="0.25">
      <c r="A585" s="396" t="s">
        <v>129</v>
      </c>
      <c r="B585" s="390">
        <v>905</v>
      </c>
      <c r="C585" s="392" t="s">
        <v>118</v>
      </c>
      <c r="D585" s="392" t="s">
        <v>150</v>
      </c>
      <c r="E585" s="392" t="s">
        <v>1166</v>
      </c>
      <c r="F585" s="392" t="s">
        <v>130</v>
      </c>
      <c r="G585" s="397"/>
      <c r="H585" s="397"/>
      <c r="I585" s="397" t="e">
        <f t="shared" si="257"/>
        <v>#DIV/0!</v>
      </c>
      <c r="J585" s="413"/>
      <c r="K585" s="401"/>
    </row>
    <row r="586" spans="1:12" s="192" customFormat="1" ht="31.5" x14ac:dyDescent="0.25">
      <c r="A586" s="396" t="s">
        <v>1677</v>
      </c>
      <c r="B586" s="390">
        <v>905</v>
      </c>
      <c r="C586" s="392" t="s">
        <v>118</v>
      </c>
      <c r="D586" s="392" t="s">
        <v>150</v>
      </c>
      <c r="E586" s="392" t="s">
        <v>1678</v>
      </c>
      <c r="F586" s="392"/>
      <c r="G586" s="397">
        <f>G587</f>
        <v>183.10339999999999</v>
      </c>
      <c r="H586" s="397">
        <f t="shared" ref="H586:H587" si="289">H587</f>
        <v>183.10300000000001</v>
      </c>
      <c r="I586" s="397">
        <f t="shared" ref="I586:I649" si="290">H586/G586*100</f>
        <v>99.999781544198527</v>
      </c>
      <c r="J586" s="413"/>
      <c r="K586" s="401"/>
    </row>
    <row r="587" spans="1:12" s="192" customFormat="1" ht="63" x14ac:dyDescent="0.25">
      <c r="A587" s="396" t="s">
        <v>127</v>
      </c>
      <c r="B587" s="390">
        <v>905</v>
      </c>
      <c r="C587" s="392" t="s">
        <v>118</v>
      </c>
      <c r="D587" s="392" t="s">
        <v>150</v>
      </c>
      <c r="E587" s="392" t="s">
        <v>1678</v>
      </c>
      <c r="F587" s="392" t="s">
        <v>128</v>
      </c>
      <c r="G587" s="397">
        <f>G588</f>
        <v>183.10339999999999</v>
      </c>
      <c r="H587" s="397">
        <f t="shared" si="289"/>
        <v>183.10300000000001</v>
      </c>
      <c r="I587" s="397">
        <f t="shared" si="290"/>
        <v>99.999781544198527</v>
      </c>
      <c r="J587" s="413"/>
      <c r="K587" s="401"/>
    </row>
    <row r="588" spans="1:12" s="192" customFormat="1" ht="31.5" x14ac:dyDescent="0.25">
      <c r="A588" s="396" t="s">
        <v>129</v>
      </c>
      <c r="B588" s="390">
        <v>905</v>
      </c>
      <c r="C588" s="392" t="s">
        <v>118</v>
      </c>
      <c r="D588" s="392" t="s">
        <v>150</v>
      </c>
      <c r="E588" s="392" t="s">
        <v>1678</v>
      </c>
      <c r="F588" s="392" t="s">
        <v>130</v>
      </c>
      <c r="G588" s="397">
        <v>183.10339999999999</v>
      </c>
      <c r="H588" s="397">
        <v>183.10300000000001</v>
      </c>
      <c r="I588" s="397">
        <f t="shared" si="290"/>
        <v>99.999781544198527</v>
      </c>
      <c r="J588" s="413"/>
      <c r="K588" s="401"/>
    </row>
    <row r="589" spans="1:12" ht="15.75" x14ac:dyDescent="0.25">
      <c r="A589" s="394" t="s">
        <v>139</v>
      </c>
      <c r="B589" s="391">
        <v>905</v>
      </c>
      <c r="C589" s="395" t="s">
        <v>118</v>
      </c>
      <c r="D589" s="395" t="s">
        <v>140</v>
      </c>
      <c r="E589" s="395"/>
      <c r="F589" s="395"/>
      <c r="G589" s="393">
        <f>G590+G600</f>
        <v>13075.960000000001</v>
      </c>
      <c r="H589" s="393">
        <f t="shared" ref="H589" si="291">H590+H600</f>
        <v>12279.573</v>
      </c>
      <c r="I589" s="393">
        <f t="shared" si="290"/>
        <v>93.909533219740652</v>
      </c>
      <c r="J589" s="413"/>
      <c r="K589" s="401"/>
      <c r="L589" s="192"/>
    </row>
    <row r="590" spans="1:12" s="192" customFormat="1" ht="15.75" x14ac:dyDescent="0.25">
      <c r="A590" s="394" t="s">
        <v>141</v>
      </c>
      <c r="B590" s="391">
        <v>905</v>
      </c>
      <c r="C590" s="395" t="s">
        <v>118</v>
      </c>
      <c r="D590" s="395" t="s">
        <v>140</v>
      </c>
      <c r="E590" s="395" t="s">
        <v>865</v>
      </c>
      <c r="F590" s="395"/>
      <c r="G590" s="393">
        <f>G591</f>
        <v>12423.2</v>
      </c>
      <c r="H590" s="393">
        <f t="shared" ref="H590" si="292">H591</f>
        <v>12279.573</v>
      </c>
      <c r="I590" s="393">
        <f t="shared" si="290"/>
        <v>98.843880803657669</v>
      </c>
      <c r="J590" s="413"/>
      <c r="K590" s="401"/>
    </row>
    <row r="591" spans="1:12" s="192" customFormat="1" ht="31.5" x14ac:dyDescent="0.25">
      <c r="A591" s="394" t="s">
        <v>869</v>
      </c>
      <c r="B591" s="391">
        <v>905</v>
      </c>
      <c r="C591" s="395" t="s">
        <v>118</v>
      </c>
      <c r="D591" s="395" t="s">
        <v>140</v>
      </c>
      <c r="E591" s="395" t="s">
        <v>864</v>
      </c>
      <c r="F591" s="395"/>
      <c r="G591" s="393">
        <f>G592+G597</f>
        <v>12423.2</v>
      </c>
      <c r="H591" s="393">
        <f t="shared" ref="H591" si="293">H592+H597</f>
        <v>12279.573</v>
      </c>
      <c r="I591" s="393">
        <f t="shared" si="290"/>
        <v>98.843880803657669</v>
      </c>
      <c r="J591" s="413"/>
      <c r="K591" s="401"/>
    </row>
    <row r="592" spans="1:12" s="192" customFormat="1" ht="47.25" x14ac:dyDescent="0.25">
      <c r="A592" s="396" t="s">
        <v>388</v>
      </c>
      <c r="B592" s="390">
        <v>905</v>
      </c>
      <c r="C592" s="392" t="s">
        <v>118</v>
      </c>
      <c r="D592" s="392" t="s">
        <v>140</v>
      </c>
      <c r="E592" s="392" t="s">
        <v>1010</v>
      </c>
      <c r="F592" s="392"/>
      <c r="G592" s="397">
        <f>G593+G595</f>
        <v>12423.2</v>
      </c>
      <c r="H592" s="397">
        <f t="shared" ref="H592" si="294">H593+H595</f>
        <v>12279.573</v>
      </c>
      <c r="I592" s="397">
        <f t="shared" si="290"/>
        <v>98.843880803657669</v>
      </c>
      <c r="J592" s="413"/>
      <c r="K592" s="401"/>
    </row>
    <row r="593" spans="1:45" s="192" customFormat="1" ht="31.5" x14ac:dyDescent="0.25">
      <c r="A593" s="396" t="s">
        <v>131</v>
      </c>
      <c r="B593" s="390">
        <v>905</v>
      </c>
      <c r="C593" s="392" t="s">
        <v>118</v>
      </c>
      <c r="D593" s="392" t="s">
        <v>140</v>
      </c>
      <c r="E593" s="392" t="s">
        <v>1010</v>
      </c>
      <c r="F593" s="392" t="s">
        <v>132</v>
      </c>
      <c r="G593" s="397">
        <f>G594</f>
        <v>6068.8000000000011</v>
      </c>
      <c r="H593" s="397">
        <f t="shared" ref="H593" si="295">H594</f>
        <v>5925.1729999999998</v>
      </c>
      <c r="I593" s="397">
        <f t="shared" si="290"/>
        <v>97.633354205114671</v>
      </c>
      <c r="J593" s="413"/>
      <c r="K593" s="401"/>
    </row>
    <row r="594" spans="1:45" s="192" customFormat="1" ht="31.5" x14ac:dyDescent="0.25">
      <c r="A594" s="396" t="s">
        <v>133</v>
      </c>
      <c r="B594" s="390">
        <v>905</v>
      </c>
      <c r="C594" s="392" t="s">
        <v>118</v>
      </c>
      <c r="D594" s="392" t="s">
        <v>140</v>
      </c>
      <c r="E594" s="392" t="s">
        <v>1010</v>
      </c>
      <c r="F594" s="392" t="s">
        <v>134</v>
      </c>
      <c r="G594" s="397">
        <f>5707.8-505.7-40+151+527+30-4.4-15+45+4.1+21+148</f>
        <v>6068.8000000000011</v>
      </c>
      <c r="H594" s="397">
        <v>5925.1729999999998</v>
      </c>
      <c r="I594" s="397">
        <f t="shared" si="290"/>
        <v>97.633354205114671</v>
      </c>
      <c r="J594" s="413"/>
      <c r="K594" s="413"/>
    </row>
    <row r="595" spans="1:45" s="192" customFormat="1" ht="15.75" x14ac:dyDescent="0.25">
      <c r="A595" s="396" t="s">
        <v>135</v>
      </c>
      <c r="B595" s="390">
        <v>905</v>
      </c>
      <c r="C595" s="392" t="s">
        <v>118</v>
      </c>
      <c r="D595" s="392" t="s">
        <v>140</v>
      </c>
      <c r="E595" s="392" t="s">
        <v>1010</v>
      </c>
      <c r="F595" s="392" t="s">
        <v>145</v>
      </c>
      <c r="G595" s="397">
        <f>G596</f>
        <v>6354.4</v>
      </c>
      <c r="H595" s="397">
        <f t="shared" ref="H595" si="296">H596</f>
        <v>6354.4</v>
      </c>
      <c r="I595" s="397">
        <f t="shared" si="290"/>
        <v>100</v>
      </c>
      <c r="J595" s="413"/>
      <c r="K595" s="413"/>
    </row>
    <row r="596" spans="1:45" s="192" customFormat="1" ht="31.5" x14ac:dyDescent="0.25">
      <c r="A596" s="396" t="s">
        <v>835</v>
      </c>
      <c r="B596" s="390">
        <v>905</v>
      </c>
      <c r="C596" s="392" t="s">
        <v>118</v>
      </c>
      <c r="D596" s="392" t="s">
        <v>140</v>
      </c>
      <c r="E596" s="392" t="s">
        <v>1010</v>
      </c>
      <c r="F596" s="392" t="s">
        <v>147</v>
      </c>
      <c r="G596" s="397">
        <f>6354.4</f>
        <v>6354.4</v>
      </c>
      <c r="H596" s="397">
        <v>6354.4</v>
      </c>
      <c r="I596" s="397">
        <f t="shared" si="290"/>
        <v>100</v>
      </c>
      <c r="J596" s="413"/>
      <c r="K596" s="413"/>
    </row>
    <row r="597" spans="1:45" s="192" customFormat="1" ht="31.5" hidden="1" x14ac:dyDescent="0.25">
      <c r="A597" s="396" t="s">
        <v>930</v>
      </c>
      <c r="B597" s="390">
        <v>905</v>
      </c>
      <c r="C597" s="392" t="s">
        <v>118</v>
      </c>
      <c r="D597" s="392" t="s">
        <v>140</v>
      </c>
      <c r="E597" s="392" t="s">
        <v>1011</v>
      </c>
      <c r="F597" s="392"/>
      <c r="G597" s="397">
        <f>G598</f>
        <v>0</v>
      </c>
      <c r="H597" s="397">
        <f t="shared" ref="H597:H598" si="297">H598</f>
        <v>0</v>
      </c>
      <c r="I597" s="397" t="e">
        <f t="shared" si="290"/>
        <v>#DIV/0!</v>
      </c>
      <c r="J597" s="413"/>
      <c r="K597" s="401"/>
    </row>
    <row r="598" spans="1:45" s="192" customFormat="1" ht="31.5" hidden="1" x14ac:dyDescent="0.25">
      <c r="A598" s="396" t="s">
        <v>131</v>
      </c>
      <c r="B598" s="390">
        <v>905</v>
      </c>
      <c r="C598" s="392" t="s">
        <v>118</v>
      </c>
      <c r="D598" s="392" t="s">
        <v>140</v>
      </c>
      <c r="E598" s="392" t="s">
        <v>1011</v>
      </c>
      <c r="F598" s="392" t="s">
        <v>132</v>
      </c>
      <c r="G598" s="397">
        <f>G599</f>
        <v>0</v>
      </c>
      <c r="H598" s="397">
        <f t="shared" si="297"/>
        <v>0</v>
      </c>
      <c r="I598" s="397" t="e">
        <f t="shared" si="290"/>
        <v>#DIV/0!</v>
      </c>
      <c r="J598" s="413"/>
      <c r="K598" s="401"/>
    </row>
    <row r="599" spans="1:45" s="192" customFormat="1" ht="31.5" hidden="1" x14ac:dyDescent="0.25">
      <c r="A599" s="396" t="s">
        <v>133</v>
      </c>
      <c r="B599" s="390">
        <v>905</v>
      </c>
      <c r="C599" s="392" t="s">
        <v>118</v>
      </c>
      <c r="D599" s="392" t="s">
        <v>140</v>
      </c>
      <c r="E599" s="392" t="s">
        <v>1011</v>
      </c>
      <c r="F599" s="392" t="s">
        <v>134</v>
      </c>
      <c r="G599" s="397">
        <f>100-100</f>
        <v>0</v>
      </c>
      <c r="H599" s="397">
        <f t="shared" ref="H599" si="298">100-100</f>
        <v>0</v>
      </c>
      <c r="I599" s="397" t="e">
        <f t="shared" si="290"/>
        <v>#DIV/0!</v>
      </c>
      <c r="J599" s="413"/>
      <c r="K599" s="401"/>
    </row>
    <row r="600" spans="1:45" s="111" customFormat="1" ht="69.400000000000006" customHeight="1" x14ac:dyDescent="0.25">
      <c r="A600" s="394" t="s">
        <v>1512</v>
      </c>
      <c r="B600" s="391">
        <v>905</v>
      </c>
      <c r="C600" s="395" t="s">
        <v>118</v>
      </c>
      <c r="D600" s="395" t="s">
        <v>140</v>
      </c>
      <c r="E600" s="395" t="s">
        <v>782</v>
      </c>
      <c r="F600" s="395"/>
      <c r="G600" s="393">
        <f>G601</f>
        <v>652.7600000000001</v>
      </c>
      <c r="H600" s="393">
        <f t="shared" ref="H600:H603" si="299">H601</f>
        <v>0</v>
      </c>
      <c r="I600" s="393">
        <f t="shared" si="290"/>
        <v>0</v>
      </c>
      <c r="J600" s="416"/>
      <c r="K600" s="127"/>
      <c r="L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P600" s="193"/>
      <c r="AQ600" s="193"/>
      <c r="AS600" s="193"/>
    </row>
    <row r="601" spans="1:45" s="193" customFormat="1" ht="29.25" customHeight="1" x14ac:dyDescent="0.25">
      <c r="A601" s="394" t="s">
        <v>929</v>
      </c>
      <c r="B601" s="391">
        <v>905</v>
      </c>
      <c r="C601" s="395" t="s">
        <v>118</v>
      </c>
      <c r="D601" s="395" t="s">
        <v>140</v>
      </c>
      <c r="E601" s="395" t="s">
        <v>1019</v>
      </c>
      <c r="F601" s="395"/>
      <c r="G601" s="393">
        <f>G602</f>
        <v>652.7600000000001</v>
      </c>
      <c r="H601" s="393">
        <f t="shared" si="299"/>
        <v>0</v>
      </c>
      <c r="I601" s="393">
        <f t="shared" si="290"/>
        <v>0</v>
      </c>
      <c r="J601" s="416"/>
      <c r="K601" s="127"/>
    </row>
    <row r="602" spans="1:45" s="111" customFormat="1" ht="15.75" x14ac:dyDescent="0.25">
      <c r="A602" s="396" t="s">
        <v>1507</v>
      </c>
      <c r="B602" s="390">
        <v>905</v>
      </c>
      <c r="C602" s="392" t="s">
        <v>118</v>
      </c>
      <c r="D602" s="392" t="s">
        <v>140</v>
      </c>
      <c r="E602" s="392" t="s">
        <v>1020</v>
      </c>
      <c r="F602" s="392"/>
      <c r="G602" s="397">
        <f>G603</f>
        <v>652.7600000000001</v>
      </c>
      <c r="H602" s="397">
        <f t="shared" si="299"/>
        <v>0</v>
      </c>
      <c r="I602" s="397">
        <f t="shared" si="290"/>
        <v>0</v>
      </c>
      <c r="J602" s="416"/>
      <c r="K602" s="127"/>
      <c r="L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P602" s="193"/>
      <c r="AQ602" s="193"/>
      <c r="AS602" s="193"/>
    </row>
    <row r="603" spans="1:45" s="111" customFormat="1" ht="31.5" x14ac:dyDescent="0.25">
      <c r="A603" s="396" t="s">
        <v>131</v>
      </c>
      <c r="B603" s="390">
        <v>905</v>
      </c>
      <c r="C603" s="392" t="s">
        <v>118</v>
      </c>
      <c r="D603" s="392" t="s">
        <v>140</v>
      </c>
      <c r="E603" s="392" t="s">
        <v>1020</v>
      </c>
      <c r="F603" s="392" t="s">
        <v>132</v>
      </c>
      <c r="G603" s="397">
        <f>G604</f>
        <v>652.7600000000001</v>
      </c>
      <c r="H603" s="397">
        <f t="shared" si="299"/>
        <v>0</v>
      </c>
      <c r="I603" s="397">
        <f t="shared" si="290"/>
        <v>0</v>
      </c>
      <c r="J603" s="416"/>
      <c r="K603" s="127"/>
      <c r="L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P603" s="193"/>
      <c r="AQ603" s="193"/>
      <c r="AS603" s="193"/>
    </row>
    <row r="604" spans="1:45" s="111" customFormat="1" ht="31.5" x14ac:dyDescent="0.25">
      <c r="A604" s="489" t="s">
        <v>133</v>
      </c>
      <c r="B604" s="478">
        <v>905</v>
      </c>
      <c r="C604" s="479" t="s">
        <v>118</v>
      </c>
      <c r="D604" s="479" t="s">
        <v>140</v>
      </c>
      <c r="E604" s="479" t="s">
        <v>1020</v>
      </c>
      <c r="F604" s="479" t="s">
        <v>134</v>
      </c>
      <c r="G604" s="480">
        <f>92.26+83.03+839.57-322.23254-31.86746-31+31.1-8.1</f>
        <v>652.7600000000001</v>
      </c>
      <c r="H604" s="480">
        <v>0</v>
      </c>
      <c r="I604" s="397">
        <f t="shared" si="290"/>
        <v>0</v>
      </c>
      <c r="J604" s="416"/>
      <c r="K604" s="127"/>
      <c r="L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P604" s="193"/>
      <c r="AQ604" s="193"/>
      <c r="AS604" s="193"/>
    </row>
    <row r="605" spans="1:45" ht="15.75" x14ac:dyDescent="0.25">
      <c r="A605" s="400" t="s">
        <v>390</v>
      </c>
      <c r="B605" s="391">
        <v>905</v>
      </c>
      <c r="C605" s="395" t="s">
        <v>234</v>
      </c>
      <c r="D605" s="395"/>
      <c r="E605" s="395"/>
      <c r="F605" s="395"/>
      <c r="G605" s="393">
        <f>G606</f>
        <v>325.39999999999998</v>
      </c>
      <c r="H605" s="393">
        <f t="shared" ref="H605:H607" si="300">H606</f>
        <v>325.39999999999998</v>
      </c>
      <c r="I605" s="393">
        <f t="shared" si="290"/>
        <v>100</v>
      </c>
      <c r="J605" s="413"/>
      <c r="K605" s="401"/>
      <c r="L605" s="192"/>
    </row>
    <row r="606" spans="1:45" ht="15.75" x14ac:dyDescent="0.25">
      <c r="A606" s="400" t="s">
        <v>391</v>
      </c>
      <c r="B606" s="391">
        <v>905</v>
      </c>
      <c r="C606" s="395" t="s">
        <v>234</v>
      </c>
      <c r="D606" s="395" t="s">
        <v>118</v>
      </c>
      <c r="E606" s="395"/>
      <c r="F606" s="395"/>
      <c r="G606" s="393">
        <f>G607</f>
        <v>325.39999999999998</v>
      </c>
      <c r="H606" s="393">
        <f t="shared" si="300"/>
        <v>325.39999999999998</v>
      </c>
      <c r="I606" s="393">
        <f t="shared" si="290"/>
        <v>100</v>
      </c>
      <c r="J606" s="413"/>
      <c r="K606" s="401"/>
      <c r="L606" s="192"/>
    </row>
    <row r="607" spans="1:45" s="192" customFormat="1" ht="15.75" x14ac:dyDescent="0.25">
      <c r="A607" s="394" t="s">
        <v>141</v>
      </c>
      <c r="B607" s="391">
        <v>905</v>
      </c>
      <c r="C607" s="395" t="s">
        <v>234</v>
      </c>
      <c r="D607" s="395" t="s">
        <v>118</v>
      </c>
      <c r="E607" s="395" t="s">
        <v>865</v>
      </c>
      <c r="F607" s="395"/>
      <c r="G607" s="393">
        <f>G608</f>
        <v>325.39999999999998</v>
      </c>
      <c r="H607" s="393">
        <f t="shared" si="300"/>
        <v>325.39999999999998</v>
      </c>
      <c r="I607" s="393">
        <f t="shared" si="290"/>
        <v>100</v>
      </c>
      <c r="J607" s="413"/>
      <c r="K607" s="401"/>
    </row>
    <row r="608" spans="1:45" s="192" customFormat="1" ht="31.5" x14ac:dyDescent="0.25">
      <c r="A608" s="394" t="s">
        <v>869</v>
      </c>
      <c r="B608" s="391">
        <v>905</v>
      </c>
      <c r="C608" s="395" t="s">
        <v>234</v>
      </c>
      <c r="D608" s="395" t="s">
        <v>118</v>
      </c>
      <c r="E608" s="395" t="s">
        <v>864</v>
      </c>
      <c r="F608" s="395"/>
      <c r="G608" s="393">
        <f>G609+G612</f>
        <v>325.39999999999998</v>
      </c>
      <c r="H608" s="393">
        <f t="shared" ref="H608" si="301">H609+H612</f>
        <v>325.39999999999998</v>
      </c>
      <c r="I608" s="393">
        <f t="shared" si="290"/>
        <v>100</v>
      </c>
      <c r="J608" s="413"/>
      <c r="K608" s="401"/>
    </row>
    <row r="609" spans="1:12" ht="31.5" x14ac:dyDescent="0.25">
      <c r="A609" s="29" t="s">
        <v>398</v>
      </c>
      <c r="B609" s="390">
        <v>905</v>
      </c>
      <c r="C609" s="392" t="s">
        <v>234</v>
      </c>
      <c r="D609" s="392" t="s">
        <v>118</v>
      </c>
      <c r="E609" s="392" t="s">
        <v>960</v>
      </c>
      <c r="F609" s="392"/>
      <c r="G609" s="397">
        <f>G610</f>
        <v>310.39999999999998</v>
      </c>
      <c r="H609" s="397">
        <f t="shared" ref="H609:H610" si="302">H610</f>
        <v>310.39999999999998</v>
      </c>
      <c r="I609" s="397">
        <f t="shared" si="290"/>
        <v>100</v>
      </c>
      <c r="J609" s="413"/>
      <c r="K609" s="401"/>
      <c r="L609" s="192"/>
    </row>
    <row r="610" spans="1:12" ht="31.5" x14ac:dyDescent="0.25">
      <c r="A610" s="396" t="s">
        <v>131</v>
      </c>
      <c r="B610" s="390">
        <v>905</v>
      </c>
      <c r="C610" s="392" t="s">
        <v>234</v>
      </c>
      <c r="D610" s="392" t="s">
        <v>118</v>
      </c>
      <c r="E610" s="392" t="s">
        <v>960</v>
      </c>
      <c r="F610" s="392" t="s">
        <v>132</v>
      </c>
      <c r="G610" s="397">
        <f>G611</f>
        <v>310.39999999999998</v>
      </c>
      <c r="H610" s="397">
        <f t="shared" si="302"/>
        <v>310.39999999999998</v>
      </c>
      <c r="I610" s="397">
        <f t="shared" si="290"/>
        <v>100</v>
      </c>
      <c r="J610" s="413"/>
      <c r="K610" s="401"/>
      <c r="L610" s="192"/>
    </row>
    <row r="611" spans="1:12" ht="31.5" x14ac:dyDescent="0.25">
      <c r="A611" s="396" t="s">
        <v>133</v>
      </c>
      <c r="B611" s="390">
        <v>905</v>
      </c>
      <c r="C611" s="392" t="s">
        <v>234</v>
      </c>
      <c r="D611" s="392" t="s">
        <v>118</v>
      </c>
      <c r="E611" s="392" t="s">
        <v>960</v>
      </c>
      <c r="F611" s="392" t="s">
        <v>134</v>
      </c>
      <c r="G611" s="397">
        <f>263.2+7+0.2+40</f>
        <v>310.39999999999998</v>
      </c>
      <c r="H611" s="397">
        <v>310.39999999999998</v>
      </c>
      <c r="I611" s="397">
        <f t="shared" si="290"/>
        <v>100</v>
      </c>
      <c r="J611" s="413"/>
      <c r="K611" s="401"/>
      <c r="L611" s="192"/>
    </row>
    <row r="612" spans="1:12" ht="31.5" x14ac:dyDescent="0.25">
      <c r="A612" s="29" t="s">
        <v>931</v>
      </c>
      <c r="B612" s="390">
        <v>905</v>
      </c>
      <c r="C612" s="392" t="s">
        <v>234</v>
      </c>
      <c r="D612" s="392" t="s">
        <v>118</v>
      </c>
      <c r="E612" s="392" t="s">
        <v>961</v>
      </c>
      <c r="F612" s="392"/>
      <c r="G612" s="397">
        <f>G613</f>
        <v>15</v>
      </c>
      <c r="H612" s="397">
        <f t="shared" ref="H612:H613" si="303">H613</f>
        <v>15</v>
      </c>
      <c r="I612" s="397">
        <f t="shared" si="290"/>
        <v>100</v>
      </c>
      <c r="J612" s="413"/>
      <c r="K612" s="401"/>
      <c r="L612" s="192"/>
    </row>
    <row r="613" spans="1:12" ht="31.5" x14ac:dyDescent="0.25">
      <c r="A613" s="396" t="s">
        <v>131</v>
      </c>
      <c r="B613" s="390">
        <v>905</v>
      </c>
      <c r="C613" s="392" t="s">
        <v>234</v>
      </c>
      <c r="D613" s="392" t="s">
        <v>118</v>
      </c>
      <c r="E613" s="392" t="s">
        <v>961</v>
      </c>
      <c r="F613" s="392" t="s">
        <v>132</v>
      </c>
      <c r="G613" s="397">
        <f>G614</f>
        <v>15</v>
      </c>
      <c r="H613" s="397">
        <f t="shared" si="303"/>
        <v>15</v>
      </c>
      <c r="I613" s="397">
        <f t="shared" si="290"/>
        <v>100</v>
      </c>
      <c r="J613" s="413"/>
      <c r="K613" s="401"/>
      <c r="L613" s="192"/>
    </row>
    <row r="614" spans="1:12" ht="31.5" x14ac:dyDescent="0.25">
      <c r="A614" s="396" t="s">
        <v>133</v>
      </c>
      <c r="B614" s="390">
        <v>905</v>
      </c>
      <c r="C614" s="392" t="s">
        <v>234</v>
      </c>
      <c r="D614" s="392" t="s">
        <v>118</v>
      </c>
      <c r="E614" s="392" t="s">
        <v>961</v>
      </c>
      <c r="F614" s="392" t="s">
        <v>134</v>
      </c>
      <c r="G614" s="397">
        <v>15</v>
      </c>
      <c r="H614" s="397">
        <v>15</v>
      </c>
      <c r="I614" s="397">
        <f t="shared" si="290"/>
        <v>100</v>
      </c>
      <c r="J614" s="413"/>
      <c r="K614" s="401"/>
      <c r="L614" s="192"/>
    </row>
    <row r="615" spans="1:12" s="192" customFormat="1" ht="15.75" hidden="1" x14ac:dyDescent="0.25">
      <c r="A615" s="394" t="s">
        <v>243</v>
      </c>
      <c r="B615" s="391">
        <v>905</v>
      </c>
      <c r="C615" s="395" t="s">
        <v>244</v>
      </c>
      <c r="D615" s="392"/>
      <c r="E615" s="392"/>
      <c r="F615" s="392"/>
      <c r="G615" s="393">
        <f>G616</f>
        <v>0</v>
      </c>
      <c r="H615" s="393">
        <f t="shared" ref="H615:H619" si="304">H616</f>
        <v>0</v>
      </c>
      <c r="I615" s="397" t="e">
        <f t="shared" si="290"/>
        <v>#DIV/0!</v>
      </c>
      <c r="J615" s="413"/>
      <c r="K615" s="401"/>
    </row>
    <row r="616" spans="1:12" s="192" customFormat="1" ht="15.75" hidden="1" x14ac:dyDescent="0.25">
      <c r="A616" s="394" t="s">
        <v>400</v>
      </c>
      <c r="B616" s="391">
        <v>905</v>
      </c>
      <c r="C616" s="395" t="s">
        <v>244</v>
      </c>
      <c r="D616" s="395" t="s">
        <v>150</v>
      </c>
      <c r="E616" s="392"/>
      <c r="F616" s="392"/>
      <c r="G616" s="393">
        <f>G617</f>
        <v>0</v>
      </c>
      <c r="H616" s="393">
        <f t="shared" si="304"/>
        <v>0</v>
      </c>
      <c r="I616" s="397" t="e">
        <f t="shared" si="290"/>
        <v>#DIV/0!</v>
      </c>
      <c r="J616" s="413"/>
      <c r="K616" s="401"/>
    </row>
    <row r="617" spans="1:12" s="192" customFormat="1" ht="31.5" hidden="1" x14ac:dyDescent="0.25">
      <c r="A617" s="394" t="s">
        <v>884</v>
      </c>
      <c r="B617" s="391">
        <v>905</v>
      </c>
      <c r="C617" s="395" t="s">
        <v>244</v>
      </c>
      <c r="D617" s="395" t="s">
        <v>150</v>
      </c>
      <c r="E617" s="395" t="s">
        <v>862</v>
      </c>
      <c r="F617" s="392"/>
      <c r="G617" s="393">
        <f>G618</f>
        <v>0</v>
      </c>
      <c r="H617" s="393">
        <f t="shared" si="304"/>
        <v>0</v>
      </c>
      <c r="I617" s="397" t="e">
        <f t="shared" si="290"/>
        <v>#DIV/0!</v>
      </c>
      <c r="J617" s="413"/>
      <c r="K617" s="401"/>
    </row>
    <row r="618" spans="1:12" s="192" customFormat="1" ht="48" hidden="1" customHeight="1" x14ac:dyDescent="0.25">
      <c r="A618" s="396" t="s">
        <v>1334</v>
      </c>
      <c r="B618" s="390">
        <v>905</v>
      </c>
      <c r="C618" s="392" t="s">
        <v>244</v>
      </c>
      <c r="D618" s="392" t="s">
        <v>150</v>
      </c>
      <c r="E618" s="392" t="s">
        <v>1168</v>
      </c>
      <c r="F618" s="392"/>
      <c r="G618" s="397">
        <f>G619</f>
        <v>0</v>
      </c>
      <c r="H618" s="397">
        <f t="shared" si="304"/>
        <v>0</v>
      </c>
      <c r="I618" s="397" t="e">
        <f t="shared" si="290"/>
        <v>#DIV/0!</v>
      </c>
      <c r="J618" s="413"/>
      <c r="K618" s="401"/>
    </row>
    <row r="619" spans="1:12" s="192" customFormat="1" ht="31.5" hidden="1" x14ac:dyDescent="0.25">
      <c r="A619" s="396" t="s">
        <v>131</v>
      </c>
      <c r="B619" s="390">
        <v>905</v>
      </c>
      <c r="C619" s="392" t="s">
        <v>244</v>
      </c>
      <c r="D619" s="392" t="s">
        <v>150</v>
      </c>
      <c r="E619" s="392" t="s">
        <v>1168</v>
      </c>
      <c r="F619" s="392" t="s">
        <v>132</v>
      </c>
      <c r="G619" s="397">
        <f>G620</f>
        <v>0</v>
      </c>
      <c r="H619" s="397">
        <f t="shared" si="304"/>
        <v>0</v>
      </c>
      <c r="I619" s="397" t="e">
        <f t="shared" si="290"/>
        <v>#DIV/0!</v>
      </c>
      <c r="J619" s="413"/>
      <c r="K619" s="401"/>
    </row>
    <row r="620" spans="1:12" s="192" customFormat="1" ht="31.5" hidden="1" x14ac:dyDescent="0.25">
      <c r="A620" s="396" t="s">
        <v>133</v>
      </c>
      <c r="B620" s="390">
        <v>905</v>
      </c>
      <c r="C620" s="392" t="s">
        <v>244</v>
      </c>
      <c r="D620" s="392" t="s">
        <v>150</v>
      </c>
      <c r="E620" s="392" t="s">
        <v>1168</v>
      </c>
      <c r="F620" s="392" t="s">
        <v>134</v>
      </c>
      <c r="G620" s="397">
        <f>1975.4-1975.4</f>
        <v>0</v>
      </c>
      <c r="H620" s="397">
        <f t="shared" ref="H620" si="305">1975.4-1975.4</f>
        <v>0</v>
      </c>
      <c r="I620" s="397" t="e">
        <f t="shared" si="290"/>
        <v>#DIV/0!</v>
      </c>
      <c r="J620" s="413"/>
      <c r="K620" s="401"/>
    </row>
    <row r="621" spans="1:12" ht="31.5" x14ac:dyDescent="0.25">
      <c r="A621" s="391" t="s">
        <v>403</v>
      </c>
      <c r="B621" s="482">
        <v>906</v>
      </c>
      <c r="C621" s="483"/>
      <c r="D621" s="483"/>
      <c r="E621" s="483"/>
      <c r="F621" s="483"/>
      <c r="G621" s="486">
        <f>G629+G622</f>
        <v>378913.74100000004</v>
      </c>
      <c r="H621" s="486">
        <f>H629+H622</f>
        <v>369852.33299999998</v>
      </c>
      <c r="I621" s="393">
        <f t="shared" si="290"/>
        <v>97.608582899082549</v>
      </c>
      <c r="J621" s="413"/>
      <c r="K621" s="401"/>
      <c r="L621" s="192"/>
    </row>
    <row r="622" spans="1:12" ht="45" hidden="1" customHeight="1" x14ac:dyDescent="0.25">
      <c r="A622" s="394" t="s">
        <v>117</v>
      </c>
      <c r="B622" s="391">
        <v>906</v>
      </c>
      <c r="C622" s="395" t="s">
        <v>118</v>
      </c>
      <c r="D622" s="395"/>
      <c r="E622" s="395"/>
      <c r="F622" s="395"/>
      <c r="G622" s="393">
        <f t="shared" ref="G622:H627" si="306">G623</f>
        <v>0</v>
      </c>
      <c r="H622" s="393">
        <f t="shared" si="306"/>
        <v>0</v>
      </c>
      <c r="I622" s="393" t="e">
        <f t="shared" si="290"/>
        <v>#DIV/0!</v>
      </c>
      <c r="J622" s="413"/>
      <c r="K622" s="401"/>
      <c r="L622" s="192"/>
    </row>
    <row r="623" spans="1:12" ht="45" hidden="1" customHeight="1" x14ac:dyDescent="0.25">
      <c r="A623" s="34" t="s">
        <v>139</v>
      </c>
      <c r="B623" s="391">
        <v>906</v>
      </c>
      <c r="C623" s="395" t="s">
        <v>118</v>
      </c>
      <c r="D623" s="395" t="s">
        <v>140</v>
      </c>
      <c r="E623" s="395"/>
      <c r="F623" s="395"/>
      <c r="G623" s="393">
        <f t="shared" si="306"/>
        <v>0</v>
      </c>
      <c r="H623" s="393">
        <f t="shared" si="306"/>
        <v>0</v>
      </c>
      <c r="I623" s="393" t="e">
        <f t="shared" si="290"/>
        <v>#DIV/0!</v>
      </c>
      <c r="J623" s="413"/>
      <c r="K623" s="401"/>
      <c r="L623" s="192"/>
    </row>
    <row r="624" spans="1:12" ht="45" hidden="1" customHeight="1" x14ac:dyDescent="0.25">
      <c r="A624" s="394" t="s">
        <v>1354</v>
      </c>
      <c r="B624" s="391">
        <v>906</v>
      </c>
      <c r="C624" s="395" t="s">
        <v>118</v>
      </c>
      <c r="D624" s="395" t="s">
        <v>140</v>
      </c>
      <c r="E624" s="395" t="s">
        <v>335</v>
      </c>
      <c r="F624" s="395"/>
      <c r="G624" s="393">
        <f t="shared" si="306"/>
        <v>0</v>
      </c>
      <c r="H624" s="393">
        <f t="shared" si="306"/>
        <v>0</v>
      </c>
      <c r="I624" s="393" t="e">
        <f t="shared" si="290"/>
        <v>#DIV/0!</v>
      </c>
      <c r="J624" s="413"/>
      <c r="K624" s="401"/>
      <c r="L624" s="192"/>
    </row>
    <row r="625" spans="1:12" s="192" customFormat="1" ht="45" hidden="1" customHeight="1" x14ac:dyDescent="0.25">
      <c r="A625" s="197" t="s">
        <v>1050</v>
      </c>
      <c r="B625" s="391">
        <v>906</v>
      </c>
      <c r="C625" s="395" t="s">
        <v>118</v>
      </c>
      <c r="D625" s="395" t="s">
        <v>140</v>
      </c>
      <c r="E625" s="395" t="s">
        <v>1051</v>
      </c>
      <c r="F625" s="395"/>
      <c r="G625" s="393">
        <f t="shared" si="306"/>
        <v>0</v>
      </c>
      <c r="H625" s="393">
        <f t="shared" si="306"/>
        <v>0</v>
      </c>
      <c r="I625" s="393" t="e">
        <f t="shared" si="290"/>
        <v>#DIV/0!</v>
      </c>
      <c r="J625" s="413"/>
      <c r="K625" s="401"/>
    </row>
    <row r="626" spans="1:12" ht="45" hidden="1" customHeight="1" x14ac:dyDescent="0.25">
      <c r="A626" s="97" t="s">
        <v>336</v>
      </c>
      <c r="B626" s="390">
        <v>906</v>
      </c>
      <c r="C626" s="392" t="s">
        <v>118</v>
      </c>
      <c r="D626" s="392" t="s">
        <v>140</v>
      </c>
      <c r="E626" s="392" t="s">
        <v>1052</v>
      </c>
      <c r="F626" s="392"/>
      <c r="G626" s="493">
        <f t="shared" si="306"/>
        <v>0</v>
      </c>
      <c r="H626" s="493">
        <f t="shared" si="306"/>
        <v>0</v>
      </c>
      <c r="I626" s="393" t="e">
        <f t="shared" si="290"/>
        <v>#DIV/0!</v>
      </c>
      <c r="J626" s="413"/>
      <c r="K626" s="401"/>
      <c r="L626" s="192"/>
    </row>
    <row r="627" spans="1:12" ht="45" hidden="1" customHeight="1" x14ac:dyDescent="0.25">
      <c r="A627" s="396" t="s">
        <v>131</v>
      </c>
      <c r="B627" s="390">
        <v>906</v>
      </c>
      <c r="C627" s="392" t="s">
        <v>118</v>
      </c>
      <c r="D627" s="392" t="s">
        <v>140</v>
      </c>
      <c r="E627" s="392" t="s">
        <v>1052</v>
      </c>
      <c r="F627" s="392" t="s">
        <v>132</v>
      </c>
      <c r="G627" s="493">
        <f t="shared" si="306"/>
        <v>0</v>
      </c>
      <c r="H627" s="493">
        <f t="shared" si="306"/>
        <v>0</v>
      </c>
      <c r="I627" s="393" t="e">
        <f t="shared" si="290"/>
        <v>#DIV/0!</v>
      </c>
      <c r="J627" s="413"/>
      <c r="K627" s="401"/>
      <c r="L627" s="192"/>
    </row>
    <row r="628" spans="1:12" ht="45" hidden="1" customHeight="1" x14ac:dyDescent="0.25">
      <c r="A628" s="396" t="s">
        <v>133</v>
      </c>
      <c r="B628" s="390">
        <v>906</v>
      </c>
      <c r="C628" s="392" t="s">
        <v>118</v>
      </c>
      <c r="D628" s="392" t="s">
        <v>140</v>
      </c>
      <c r="E628" s="392" t="s">
        <v>1052</v>
      </c>
      <c r="F628" s="392" t="s">
        <v>134</v>
      </c>
      <c r="G628" s="397">
        <f>100-100</f>
        <v>0</v>
      </c>
      <c r="H628" s="397">
        <f t="shared" ref="H628" si="307">100-100</f>
        <v>0</v>
      </c>
      <c r="I628" s="393" t="e">
        <f t="shared" si="290"/>
        <v>#DIV/0!</v>
      </c>
      <c r="J628" s="413"/>
      <c r="K628" s="401"/>
      <c r="L628" s="192"/>
    </row>
    <row r="629" spans="1:12" ht="15.75" x14ac:dyDescent="0.25">
      <c r="A629" s="394" t="s">
        <v>263</v>
      </c>
      <c r="B629" s="391">
        <v>906</v>
      </c>
      <c r="C629" s="395" t="s">
        <v>264</v>
      </c>
      <c r="D629" s="395"/>
      <c r="E629" s="395"/>
      <c r="F629" s="395"/>
      <c r="G629" s="393">
        <f>G630+G698+G828+G834+G789</f>
        <v>378913.74100000004</v>
      </c>
      <c r="H629" s="393">
        <f>H630+H698+H828+H834+H789</f>
        <v>369852.33299999998</v>
      </c>
      <c r="I629" s="393">
        <f t="shared" si="290"/>
        <v>97.608582899082549</v>
      </c>
      <c r="J629" s="413"/>
      <c r="K629" s="401"/>
      <c r="L629" s="192"/>
    </row>
    <row r="630" spans="1:12" ht="15.75" x14ac:dyDescent="0.25">
      <c r="A630" s="394" t="s">
        <v>404</v>
      </c>
      <c r="B630" s="391">
        <v>906</v>
      </c>
      <c r="C630" s="395" t="s">
        <v>264</v>
      </c>
      <c r="D630" s="395" t="s">
        <v>118</v>
      </c>
      <c r="E630" s="395"/>
      <c r="F630" s="395"/>
      <c r="G630" s="393">
        <f>G631+G688+G693</f>
        <v>112462.06999999999</v>
      </c>
      <c r="H630" s="393">
        <f>H631+H688+H693</f>
        <v>110437.219</v>
      </c>
      <c r="I630" s="393">
        <f t="shared" si="290"/>
        <v>98.199525404431924</v>
      </c>
      <c r="J630" s="413"/>
      <c r="K630" s="401"/>
      <c r="L630" s="192"/>
    </row>
    <row r="631" spans="1:12" ht="36" customHeight="1" x14ac:dyDescent="0.25">
      <c r="A631" s="394" t="s">
        <v>1355</v>
      </c>
      <c r="B631" s="391">
        <v>906</v>
      </c>
      <c r="C631" s="395" t="s">
        <v>264</v>
      </c>
      <c r="D631" s="395" t="s">
        <v>118</v>
      </c>
      <c r="E631" s="395" t="s">
        <v>406</v>
      </c>
      <c r="F631" s="395"/>
      <c r="G631" s="393">
        <f>G632+G636+G649+G659+G669+G673+G680+G684</f>
        <v>111766.87</v>
      </c>
      <c r="H631" s="393">
        <f>H632+H636+H649+H659+H669+H673+H680+H684</f>
        <v>109752.368</v>
      </c>
      <c r="I631" s="393">
        <f t="shared" si="290"/>
        <v>98.197585742537129</v>
      </c>
      <c r="J631" s="413"/>
      <c r="K631" s="401"/>
      <c r="L631" s="192"/>
    </row>
    <row r="632" spans="1:12" s="192" customFormat="1" ht="38.25" customHeight="1" x14ac:dyDescent="0.25">
      <c r="A632" s="394" t="s">
        <v>936</v>
      </c>
      <c r="B632" s="391">
        <v>906</v>
      </c>
      <c r="C632" s="395" t="s">
        <v>264</v>
      </c>
      <c r="D632" s="395" t="s">
        <v>118</v>
      </c>
      <c r="E632" s="395" t="s">
        <v>1228</v>
      </c>
      <c r="F632" s="395"/>
      <c r="G632" s="393">
        <f>G633</f>
        <v>14804.1</v>
      </c>
      <c r="H632" s="393">
        <f t="shared" ref="H632:H634" si="308">H633</f>
        <v>14800.699000000001</v>
      </c>
      <c r="I632" s="393">
        <f t="shared" si="290"/>
        <v>99.977026634513408</v>
      </c>
      <c r="J632" s="413"/>
      <c r="K632" s="401"/>
    </row>
    <row r="633" spans="1:12" ht="31.5" x14ac:dyDescent="0.25">
      <c r="A633" s="396" t="s">
        <v>1227</v>
      </c>
      <c r="B633" s="390">
        <v>906</v>
      </c>
      <c r="C633" s="392" t="s">
        <v>264</v>
      </c>
      <c r="D633" s="392" t="s">
        <v>118</v>
      </c>
      <c r="E633" s="392" t="s">
        <v>1229</v>
      </c>
      <c r="F633" s="392"/>
      <c r="G633" s="397">
        <f>G634</f>
        <v>14804.1</v>
      </c>
      <c r="H633" s="397">
        <f t="shared" si="308"/>
        <v>14800.699000000001</v>
      </c>
      <c r="I633" s="397">
        <f t="shared" si="290"/>
        <v>99.977026634513408</v>
      </c>
      <c r="J633" s="413"/>
      <c r="K633" s="401"/>
      <c r="L633" s="192"/>
    </row>
    <row r="634" spans="1:12" ht="31.5" x14ac:dyDescent="0.25">
      <c r="A634" s="396" t="s">
        <v>272</v>
      </c>
      <c r="B634" s="390">
        <v>906</v>
      </c>
      <c r="C634" s="392" t="s">
        <v>264</v>
      </c>
      <c r="D634" s="392" t="s">
        <v>118</v>
      </c>
      <c r="E634" s="392" t="s">
        <v>1229</v>
      </c>
      <c r="F634" s="392" t="s">
        <v>273</v>
      </c>
      <c r="G634" s="397">
        <f>G635</f>
        <v>14804.1</v>
      </c>
      <c r="H634" s="397">
        <f t="shared" si="308"/>
        <v>14800.699000000001</v>
      </c>
      <c r="I634" s="397">
        <f t="shared" si="290"/>
        <v>99.977026634513408</v>
      </c>
      <c r="J634" s="413"/>
      <c r="K634" s="401"/>
      <c r="L634" s="192"/>
    </row>
    <row r="635" spans="1:12" ht="15.75" x14ac:dyDescent="0.25">
      <c r="A635" s="396" t="s">
        <v>274</v>
      </c>
      <c r="B635" s="390">
        <v>906</v>
      </c>
      <c r="C635" s="392" t="s">
        <v>264</v>
      </c>
      <c r="D635" s="392" t="s">
        <v>118</v>
      </c>
      <c r="E635" s="392" t="s">
        <v>1229</v>
      </c>
      <c r="F635" s="392" t="s">
        <v>275</v>
      </c>
      <c r="G635" s="27">
        <f>16056.4-1260.8+70-27.2-77.5-12.8+56</f>
        <v>14804.1</v>
      </c>
      <c r="H635" s="27">
        <v>14800.699000000001</v>
      </c>
      <c r="I635" s="397">
        <f t="shared" si="290"/>
        <v>99.977026634513408</v>
      </c>
      <c r="J635" s="413"/>
      <c r="K635" s="401"/>
      <c r="L635" s="192"/>
    </row>
    <row r="636" spans="1:12" s="192" customFormat="1" ht="31.7" customHeight="1" x14ac:dyDescent="0.25">
      <c r="A636" s="394" t="s">
        <v>899</v>
      </c>
      <c r="B636" s="391">
        <v>906</v>
      </c>
      <c r="C636" s="395" t="s">
        <v>264</v>
      </c>
      <c r="D636" s="395" t="s">
        <v>118</v>
      </c>
      <c r="E636" s="395" t="s">
        <v>1230</v>
      </c>
      <c r="F636" s="395"/>
      <c r="G636" s="44">
        <f>G640+G643+G646+G637</f>
        <v>84767.164999999994</v>
      </c>
      <c r="H636" s="44">
        <f>H640+H643+H646+H637</f>
        <v>83643.203000000009</v>
      </c>
      <c r="I636" s="393">
        <f t="shared" si="290"/>
        <v>98.674059702244392</v>
      </c>
      <c r="J636" s="413"/>
      <c r="K636" s="401"/>
    </row>
    <row r="637" spans="1:12" s="192" customFormat="1" ht="31.7" customHeight="1" x14ac:dyDescent="0.25">
      <c r="A637" s="31" t="s">
        <v>293</v>
      </c>
      <c r="B637" s="390">
        <v>906</v>
      </c>
      <c r="C637" s="392" t="s">
        <v>264</v>
      </c>
      <c r="D637" s="392" t="s">
        <v>118</v>
      </c>
      <c r="E637" s="392" t="s">
        <v>1389</v>
      </c>
      <c r="F637" s="392"/>
      <c r="G637" s="397">
        <f>G638</f>
        <v>3230</v>
      </c>
      <c r="H637" s="397">
        <f t="shared" ref="H637:H638" si="309">H638</f>
        <v>3122</v>
      </c>
      <c r="I637" s="397">
        <f t="shared" si="290"/>
        <v>96.656346749226003</v>
      </c>
      <c r="J637" s="413"/>
      <c r="K637" s="401"/>
    </row>
    <row r="638" spans="1:12" s="192" customFormat="1" ht="31.7" customHeight="1" x14ac:dyDescent="0.25">
      <c r="A638" s="396" t="s">
        <v>272</v>
      </c>
      <c r="B638" s="390">
        <v>906</v>
      </c>
      <c r="C638" s="392" t="s">
        <v>264</v>
      </c>
      <c r="D638" s="392" t="s">
        <v>118</v>
      </c>
      <c r="E638" s="392" t="s">
        <v>1389</v>
      </c>
      <c r="F638" s="392" t="s">
        <v>273</v>
      </c>
      <c r="G638" s="397">
        <f>G639</f>
        <v>3230</v>
      </c>
      <c r="H638" s="397">
        <f t="shared" si="309"/>
        <v>3122</v>
      </c>
      <c r="I638" s="397">
        <f t="shared" si="290"/>
        <v>96.656346749226003</v>
      </c>
      <c r="J638" s="413"/>
      <c r="K638" s="401"/>
    </row>
    <row r="639" spans="1:12" s="192" customFormat="1" ht="18.399999999999999" customHeight="1" x14ac:dyDescent="0.25">
      <c r="A639" s="396" t="s">
        <v>274</v>
      </c>
      <c r="B639" s="390">
        <v>906</v>
      </c>
      <c r="C639" s="392" t="s">
        <v>264</v>
      </c>
      <c r="D639" s="392" t="s">
        <v>118</v>
      </c>
      <c r="E639" s="392" t="s">
        <v>1389</v>
      </c>
      <c r="F639" s="392" t="s">
        <v>275</v>
      </c>
      <c r="G639" s="27">
        <v>3230</v>
      </c>
      <c r="H639" s="27">
        <v>3122</v>
      </c>
      <c r="I639" s="397">
        <f t="shared" si="290"/>
        <v>96.656346749226003</v>
      </c>
      <c r="J639" s="413"/>
      <c r="K639" s="401"/>
    </row>
    <row r="640" spans="1:12" s="192" customFormat="1" ht="61.5" customHeight="1" x14ac:dyDescent="0.25">
      <c r="A640" s="31" t="s">
        <v>289</v>
      </c>
      <c r="B640" s="390">
        <v>906</v>
      </c>
      <c r="C640" s="392" t="s">
        <v>264</v>
      </c>
      <c r="D640" s="392" t="s">
        <v>118</v>
      </c>
      <c r="E640" s="392" t="s">
        <v>1231</v>
      </c>
      <c r="F640" s="392"/>
      <c r="G640" s="397">
        <f>G641</f>
        <v>589</v>
      </c>
      <c r="H640" s="397">
        <f t="shared" ref="H640:H641" si="310">H641</f>
        <v>365.92200000000003</v>
      </c>
      <c r="I640" s="397">
        <f t="shared" si="290"/>
        <v>62.125976230899838</v>
      </c>
      <c r="J640" s="413"/>
      <c r="K640" s="401"/>
    </row>
    <row r="641" spans="1:12" s="192" customFormat="1" ht="31.5" x14ac:dyDescent="0.25">
      <c r="A641" s="396" t="s">
        <v>272</v>
      </c>
      <c r="B641" s="390">
        <v>906</v>
      </c>
      <c r="C641" s="392" t="s">
        <v>264</v>
      </c>
      <c r="D641" s="392" t="s">
        <v>118</v>
      </c>
      <c r="E641" s="392" t="s">
        <v>1231</v>
      </c>
      <c r="F641" s="392" t="s">
        <v>273</v>
      </c>
      <c r="G641" s="397">
        <f>G642</f>
        <v>589</v>
      </c>
      <c r="H641" s="397">
        <f t="shared" si="310"/>
        <v>365.92200000000003</v>
      </c>
      <c r="I641" s="397">
        <f t="shared" si="290"/>
        <v>62.125976230899838</v>
      </c>
      <c r="J641" s="413"/>
      <c r="K641" s="401"/>
    </row>
    <row r="642" spans="1:12" s="192" customFormat="1" ht="15.75" x14ac:dyDescent="0.25">
      <c r="A642" s="396" t="s">
        <v>274</v>
      </c>
      <c r="B642" s="390">
        <v>906</v>
      </c>
      <c r="C642" s="392" t="s">
        <v>264</v>
      </c>
      <c r="D642" s="392" t="s">
        <v>118</v>
      </c>
      <c r="E642" s="392" t="s">
        <v>1231</v>
      </c>
      <c r="F642" s="392" t="s">
        <v>275</v>
      </c>
      <c r="G642" s="397">
        <v>589</v>
      </c>
      <c r="H642" s="397">
        <v>365.92200000000003</v>
      </c>
      <c r="I642" s="397">
        <f t="shared" si="290"/>
        <v>62.125976230899838</v>
      </c>
      <c r="J642" s="413"/>
      <c r="K642" s="401"/>
    </row>
    <row r="643" spans="1:12" s="192" customFormat="1" ht="63" x14ac:dyDescent="0.25">
      <c r="A643" s="31" t="s">
        <v>420</v>
      </c>
      <c r="B643" s="390">
        <v>906</v>
      </c>
      <c r="C643" s="392" t="s">
        <v>264</v>
      </c>
      <c r="D643" s="392" t="s">
        <v>118</v>
      </c>
      <c r="E643" s="392" t="s">
        <v>1232</v>
      </c>
      <c r="F643" s="392"/>
      <c r="G643" s="397">
        <f>G644</f>
        <v>1497.5</v>
      </c>
      <c r="H643" s="397">
        <f t="shared" ref="H643:H644" si="311">H644</f>
        <v>1197.864</v>
      </c>
      <c r="I643" s="397">
        <f t="shared" si="290"/>
        <v>79.990918196994997</v>
      </c>
      <c r="J643" s="413"/>
      <c r="K643" s="401"/>
    </row>
    <row r="644" spans="1:12" s="192" customFormat="1" ht="31.5" x14ac:dyDescent="0.25">
      <c r="A644" s="396" t="s">
        <v>272</v>
      </c>
      <c r="B644" s="390">
        <v>906</v>
      </c>
      <c r="C644" s="392" t="s">
        <v>264</v>
      </c>
      <c r="D644" s="392" t="s">
        <v>118</v>
      </c>
      <c r="E644" s="392" t="s">
        <v>1232</v>
      </c>
      <c r="F644" s="392" t="s">
        <v>273</v>
      </c>
      <c r="G644" s="397">
        <f>G645</f>
        <v>1497.5</v>
      </c>
      <c r="H644" s="397">
        <f t="shared" si="311"/>
        <v>1197.864</v>
      </c>
      <c r="I644" s="397">
        <f t="shared" si="290"/>
        <v>79.990918196994997</v>
      </c>
      <c r="J644" s="413"/>
      <c r="K644" s="401"/>
    </row>
    <row r="645" spans="1:12" s="192" customFormat="1" ht="15.75" x14ac:dyDescent="0.25">
      <c r="A645" s="396" t="s">
        <v>274</v>
      </c>
      <c r="B645" s="390">
        <v>906</v>
      </c>
      <c r="C645" s="392" t="s">
        <v>264</v>
      </c>
      <c r="D645" s="392" t="s">
        <v>118</v>
      </c>
      <c r="E645" s="392" t="s">
        <v>1232</v>
      </c>
      <c r="F645" s="392" t="s">
        <v>275</v>
      </c>
      <c r="G645" s="397">
        <f>1629.37-0.07-131.8</f>
        <v>1497.5</v>
      </c>
      <c r="H645" s="397">
        <v>1197.864</v>
      </c>
      <c r="I645" s="397">
        <f t="shared" si="290"/>
        <v>79.990918196994997</v>
      </c>
      <c r="J645" s="413"/>
      <c r="K645" s="401"/>
    </row>
    <row r="646" spans="1:12" s="192" customFormat="1" ht="78.75" x14ac:dyDescent="0.25">
      <c r="A646" s="31" t="s">
        <v>421</v>
      </c>
      <c r="B646" s="390">
        <v>906</v>
      </c>
      <c r="C646" s="392" t="s">
        <v>264</v>
      </c>
      <c r="D646" s="392" t="s">
        <v>118</v>
      </c>
      <c r="E646" s="392" t="s">
        <v>1233</v>
      </c>
      <c r="F646" s="392"/>
      <c r="G646" s="397">
        <f>G647</f>
        <v>79450.664999999994</v>
      </c>
      <c r="H646" s="397">
        <f t="shared" ref="H646:H647" si="312">H647</f>
        <v>78957.417000000001</v>
      </c>
      <c r="I646" s="397">
        <f t="shared" si="290"/>
        <v>99.379177002483246</v>
      </c>
      <c r="J646" s="413"/>
      <c r="K646" s="401"/>
    </row>
    <row r="647" spans="1:12" s="192" customFormat="1" ht="31.5" x14ac:dyDescent="0.25">
      <c r="A647" s="396" t="s">
        <v>272</v>
      </c>
      <c r="B647" s="390">
        <v>906</v>
      </c>
      <c r="C647" s="392" t="s">
        <v>264</v>
      </c>
      <c r="D647" s="392" t="s">
        <v>118</v>
      </c>
      <c r="E647" s="392" t="s">
        <v>1233</v>
      </c>
      <c r="F647" s="392" t="s">
        <v>273</v>
      </c>
      <c r="G647" s="397">
        <f>G648</f>
        <v>79450.664999999994</v>
      </c>
      <c r="H647" s="397">
        <f t="shared" si="312"/>
        <v>78957.417000000001</v>
      </c>
      <c r="I647" s="397">
        <f t="shared" si="290"/>
        <v>99.379177002483246</v>
      </c>
      <c r="J647" s="413"/>
      <c r="K647" s="401"/>
    </row>
    <row r="648" spans="1:12" s="192" customFormat="1" ht="15.75" x14ac:dyDescent="0.25">
      <c r="A648" s="396" t="s">
        <v>274</v>
      </c>
      <c r="B648" s="390">
        <v>906</v>
      </c>
      <c r="C648" s="392" t="s">
        <v>264</v>
      </c>
      <c r="D648" s="392" t="s">
        <v>118</v>
      </c>
      <c r="E648" s="392" t="s">
        <v>1233</v>
      </c>
      <c r="F648" s="392" t="s">
        <v>275</v>
      </c>
      <c r="G648" s="27">
        <f>90957.3-1137.97+0.04-2963.722-2141.042-5263.941</f>
        <v>79450.664999999994</v>
      </c>
      <c r="H648" s="27">
        <v>78957.417000000001</v>
      </c>
      <c r="I648" s="397">
        <f t="shared" si="290"/>
        <v>99.379177002483246</v>
      </c>
      <c r="J648" s="413"/>
      <c r="K648" s="401"/>
    </row>
    <row r="649" spans="1:12" s="192" customFormat="1" ht="30.2" customHeight="1" x14ac:dyDescent="0.25">
      <c r="A649" s="394" t="s">
        <v>1250</v>
      </c>
      <c r="B649" s="391">
        <v>906</v>
      </c>
      <c r="C649" s="395" t="s">
        <v>264</v>
      </c>
      <c r="D649" s="395" t="s">
        <v>118</v>
      </c>
      <c r="E649" s="395" t="s">
        <v>1235</v>
      </c>
      <c r="F649" s="395"/>
      <c r="G649" s="393">
        <f>G650+G653+G656</f>
        <v>4368.3999999999996</v>
      </c>
      <c r="H649" s="393">
        <f>H650+H653+H656</f>
        <v>4333.4089999999997</v>
      </c>
      <c r="I649" s="393">
        <f t="shared" si="290"/>
        <v>99.198997344565527</v>
      </c>
      <c r="J649" s="413"/>
      <c r="K649" s="401"/>
    </row>
    <row r="650" spans="1:12" ht="35.450000000000003" customHeight="1" x14ac:dyDescent="0.25">
      <c r="A650" s="396" t="s">
        <v>278</v>
      </c>
      <c r="B650" s="390">
        <v>906</v>
      </c>
      <c r="C650" s="392" t="s">
        <v>264</v>
      </c>
      <c r="D650" s="392" t="s">
        <v>118</v>
      </c>
      <c r="E650" s="392" t="s">
        <v>1316</v>
      </c>
      <c r="F650" s="392"/>
      <c r="G650" s="397">
        <f>G651</f>
        <v>61.400000000000006</v>
      </c>
      <c r="H650" s="397">
        <f t="shared" ref="H650:H651" si="313">H651</f>
        <v>61.357999999999997</v>
      </c>
      <c r="I650" s="397">
        <f t="shared" ref="I650:I713" si="314">H650/G650*100</f>
        <v>99.931596091205193</v>
      </c>
      <c r="J650" s="413"/>
      <c r="K650" s="401"/>
      <c r="L650" s="192"/>
    </row>
    <row r="651" spans="1:12" ht="35.450000000000003" customHeight="1" x14ac:dyDescent="0.25">
      <c r="A651" s="396" t="s">
        <v>272</v>
      </c>
      <c r="B651" s="390">
        <v>906</v>
      </c>
      <c r="C651" s="392" t="s">
        <v>264</v>
      </c>
      <c r="D651" s="392" t="s">
        <v>118</v>
      </c>
      <c r="E651" s="392" t="s">
        <v>1316</v>
      </c>
      <c r="F651" s="392" t="s">
        <v>273</v>
      </c>
      <c r="G651" s="397">
        <f>G652</f>
        <v>61.400000000000006</v>
      </c>
      <c r="H651" s="397">
        <f t="shared" si="313"/>
        <v>61.357999999999997</v>
      </c>
      <c r="I651" s="397">
        <f t="shared" si="314"/>
        <v>99.931596091205193</v>
      </c>
      <c r="J651" s="413"/>
      <c r="K651" s="401"/>
      <c r="L651" s="192"/>
    </row>
    <row r="652" spans="1:12" ht="15.75" customHeight="1" x14ac:dyDescent="0.25">
      <c r="A652" s="396" t="s">
        <v>274</v>
      </c>
      <c r="B652" s="390">
        <v>906</v>
      </c>
      <c r="C652" s="392" t="s">
        <v>264</v>
      </c>
      <c r="D652" s="392" t="s">
        <v>118</v>
      </c>
      <c r="E652" s="392" t="s">
        <v>1316</v>
      </c>
      <c r="F652" s="392" t="s">
        <v>275</v>
      </c>
      <c r="G652" s="397">
        <f>200-38.6-100</f>
        <v>61.400000000000006</v>
      </c>
      <c r="H652" s="397">
        <v>61.357999999999997</v>
      </c>
      <c r="I652" s="397">
        <f t="shared" si="314"/>
        <v>99.931596091205193</v>
      </c>
      <c r="J652" s="413"/>
      <c r="K652" s="401"/>
      <c r="L652" s="192"/>
    </row>
    <row r="653" spans="1:12" ht="37.5" customHeight="1" x14ac:dyDescent="0.25">
      <c r="A653" s="396" t="s">
        <v>280</v>
      </c>
      <c r="B653" s="390">
        <v>906</v>
      </c>
      <c r="C653" s="392" t="s">
        <v>264</v>
      </c>
      <c r="D653" s="392" t="s">
        <v>118</v>
      </c>
      <c r="E653" s="392" t="s">
        <v>1317</v>
      </c>
      <c r="F653" s="392"/>
      <c r="G653" s="397">
        <f>G654</f>
        <v>357</v>
      </c>
      <c r="H653" s="397">
        <f t="shared" ref="H653:H654" si="315">H654</f>
        <v>356.19099999999997</v>
      </c>
      <c r="I653" s="397">
        <f t="shared" si="314"/>
        <v>99.773389355742296</v>
      </c>
      <c r="J653" s="413"/>
      <c r="K653" s="401"/>
      <c r="L653" s="192"/>
    </row>
    <row r="654" spans="1:12" ht="31.5" x14ac:dyDescent="0.25">
      <c r="A654" s="396" t="s">
        <v>272</v>
      </c>
      <c r="B654" s="390">
        <v>906</v>
      </c>
      <c r="C654" s="392" t="s">
        <v>264</v>
      </c>
      <c r="D654" s="392" t="s">
        <v>118</v>
      </c>
      <c r="E654" s="392" t="s">
        <v>1317</v>
      </c>
      <c r="F654" s="392" t="s">
        <v>273</v>
      </c>
      <c r="G654" s="397">
        <f>G655</f>
        <v>357</v>
      </c>
      <c r="H654" s="397">
        <f t="shared" si="315"/>
        <v>356.19099999999997</v>
      </c>
      <c r="I654" s="397">
        <f t="shared" si="314"/>
        <v>99.773389355742296</v>
      </c>
      <c r="J654" s="413"/>
      <c r="K654" s="401"/>
      <c r="L654" s="192"/>
    </row>
    <row r="655" spans="1:12" ht="15.75" x14ac:dyDescent="0.25">
      <c r="A655" s="396" t="s">
        <v>274</v>
      </c>
      <c r="B655" s="390">
        <v>906</v>
      </c>
      <c r="C655" s="392" t="s">
        <v>264</v>
      </c>
      <c r="D655" s="392" t="s">
        <v>118</v>
      </c>
      <c r="E655" s="392" t="s">
        <v>1317</v>
      </c>
      <c r="F655" s="392" t="s">
        <v>275</v>
      </c>
      <c r="G655" s="397">
        <v>357</v>
      </c>
      <c r="H655" s="397">
        <v>356.19099999999997</v>
      </c>
      <c r="I655" s="397">
        <f t="shared" si="314"/>
        <v>99.773389355742296</v>
      </c>
      <c r="J655" s="413"/>
      <c r="K655" s="401"/>
      <c r="L655" s="192"/>
    </row>
    <row r="656" spans="1:12" ht="31.5" x14ac:dyDescent="0.25">
      <c r="A656" s="29" t="s">
        <v>415</v>
      </c>
      <c r="B656" s="390">
        <v>906</v>
      </c>
      <c r="C656" s="392" t="s">
        <v>264</v>
      </c>
      <c r="D656" s="392" t="s">
        <v>118</v>
      </c>
      <c r="E656" s="392" t="s">
        <v>1236</v>
      </c>
      <c r="F656" s="392"/>
      <c r="G656" s="397">
        <f>G657</f>
        <v>3950</v>
      </c>
      <c r="H656" s="397">
        <f t="shared" ref="H656:H657" si="316">H657</f>
        <v>3915.86</v>
      </c>
      <c r="I656" s="397">
        <f t="shared" si="314"/>
        <v>99.135696202531648</v>
      </c>
      <c r="J656" s="413"/>
      <c r="K656" s="401"/>
      <c r="L656" s="192"/>
    </row>
    <row r="657" spans="1:12" ht="31.5" x14ac:dyDescent="0.25">
      <c r="A657" s="396" t="s">
        <v>272</v>
      </c>
      <c r="B657" s="390">
        <v>906</v>
      </c>
      <c r="C657" s="392" t="s">
        <v>264</v>
      </c>
      <c r="D657" s="392" t="s">
        <v>118</v>
      </c>
      <c r="E657" s="392" t="s">
        <v>1236</v>
      </c>
      <c r="F657" s="392" t="s">
        <v>273</v>
      </c>
      <c r="G657" s="397">
        <f>G658</f>
        <v>3950</v>
      </c>
      <c r="H657" s="397">
        <f t="shared" si="316"/>
        <v>3915.86</v>
      </c>
      <c r="I657" s="397">
        <f t="shared" si="314"/>
        <v>99.135696202531648</v>
      </c>
      <c r="J657" s="413"/>
      <c r="K657" s="401"/>
      <c r="L657" s="192"/>
    </row>
    <row r="658" spans="1:12" ht="15.75" x14ac:dyDescent="0.25">
      <c r="A658" s="396" t="s">
        <v>274</v>
      </c>
      <c r="B658" s="390">
        <v>906</v>
      </c>
      <c r="C658" s="392" t="s">
        <v>264</v>
      </c>
      <c r="D658" s="392" t="s">
        <v>118</v>
      </c>
      <c r="E658" s="392" t="s">
        <v>1236</v>
      </c>
      <c r="F658" s="392" t="s">
        <v>275</v>
      </c>
      <c r="G658" s="471">
        <f>4430-430-357+357-50</f>
        <v>3950</v>
      </c>
      <c r="H658" s="471">
        <v>3915.86</v>
      </c>
      <c r="I658" s="397">
        <f t="shared" si="314"/>
        <v>99.135696202531648</v>
      </c>
      <c r="J658" s="413"/>
      <c r="K658" s="401"/>
      <c r="L658" s="192"/>
    </row>
    <row r="659" spans="1:12" s="192" customFormat="1" ht="31.5" x14ac:dyDescent="0.25">
      <c r="A659" s="203" t="s">
        <v>947</v>
      </c>
      <c r="B659" s="391">
        <v>906</v>
      </c>
      <c r="C659" s="395" t="s">
        <v>264</v>
      </c>
      <c r="D659" s="395" t="s">
        <v>118</v>
      </c>
      <c r="E659" s="395" t="s">
        <v>1238</v>
      </c>
      <c r="F659" s="395"/>
      <c r="G659" s="44">
        <f>G660+G663+G666</f>
        <v>3181.4</v>
      </c>
      <c r="H659" s="44">
        <f>H660+H663+H666</f>
        <v>3121.4850000000001</v>
      </c>
      <c r="I659" s="393">
        <f t="shared" si="314"/>
        <v>98.116709624693527</v>
      </c>
      <c r="J659" s="413"/>
      <c r="K659" s="401"/>
    </row>
    <row r="660" spans="1:12" ht="31.7" hidden="1" customHeight="1" x14ac:dyDescent="0.25">
      <c r="A660" s="396" t="s">
        <v>284</v>
      </c>
      <c r="B660" s="390">
        <v>906</v>
      </c>
      <c r="C660" s="392" t="s">
        <v>264</v>
      </c>
      <c r="D660" s="392" t="s">
        <v>118</v>
      </c>
      <c r="E660" s="392" t="s">
        <v>1256</v>
      </c>
      <c r="F660" s="392"/>
      <c r="G660" s="397">
        <f>G661</f>
        <v>0</v>
      </c>
      <c r="H660" s="397">
        <f t="shared" ref="H660:H661" si="317">H661</f>
        <v>0</v>
      </c>
      <c r="I660" s="397" t="e">
        <f t="shared" si="314"/>
        <v>#DIV/0!</v>
      </c>
      <c r="J660" s="413"/>
      <c r="K660" s="401"/>
      <c r="L660" s="192"/>
    </row>
    <row r="661" spans="1:12" ht="38.25" hidden="1" customHeight="1" x14ac:dyDescent="0.25">
      <c r="A661" s="396" t="s">
        <v>272</v>
      </c>
      <c r="B661" s="390">
        <v>906</v>
      </c>
      <c r="C661" s="392" t="s">
        <v>264</v>
      </c>
      <c r="D661" s="392" t="s">
        <v>118</v>
      </c>
      <c r="E661" s="392" t="s">
        <v>1256</v>
      </c>
      <c r="F661" s="392" t="s">
        <v>273</v>
      </c>
      <c r="G661" s="397">
        <f>G662</f>
        <v>0</v>
      </c>
      <c r="H661" s="397">
        <f t="shared" si="317"/>
        <v>0</v>
      </c>
      <c r="I661" s="397" t="e">
        <f t="shared" si="314"/>
        <v>#DIV/0!</v>
      </c>
      <c r="J661" s="413"/>
      <c r="K661" s="401"/>
      <c r="L661" s="192"/>
    </row>
    <row r="662" spans="1:12" ht="15.75" hidden="1" customHeight="1" x14ac:dyDescent="0.25">
      <c r="A662" s="396" t="s">
        <v>274</v>
      </c>
      <c r="B662" s="390">
        <v>906</v>
      </c>
      <c r="C662" s="392" t="s">
        <v>264</v>
      </c>
      <c r="D662" s="392" t="s">
        <v>118</v>
      </c>
      <c r="E662" s="392" t="s">
        <v>1256</v>
      </c>
      <c r="F662" s="392" t="s">
        <v>275</v>
      </c>
      <c r="G662" s="397">
        <v>0</v>
      </c>
      <c r="H662" s="397">
        <v>0</v>
      </c>
      <c r="I662" s="397" t="e">
        <f t="shared" si="314"/>
        <v>#DIV/0!</v>
      </c>
      <c r="J662" s="413"/>
      <c r="K662" s="401"/>
      <c r="L662" s="192"/>
    </row>
    <row r="663" spans="1:12" ht="34.5" customHeight="1" x14ac:dyDescent="0.25">
      <c r="A663" s="60" t="s">
        <v>764</v>
      </c>
      <c r="B663" s="390">
        <v>906</v>
      </c>
      <c r="C663" s="392" t="s">
        <v>264</v>
      </c>
      <c r="D663" s="392" t="s">
        <v>118</v>
      </c>
      <c r="E663" s="392" t="s">
        <v>1239</v>
      </c>
      <c r="F663" s="392"/>
      <c r="G663" s="397">
        <f>G664</f>
        <v>2245.4</v>
      </c>
      <c r="H663" s="397">
        <f t="shared" ref="H663:H664" si="318">H664</f>
        <v>2217.7280000000001</v>
      </c>
      <c r="I663" s="397">
        <f t="shared" si="314"/>
        <v>98.767613788189195</v>
      </c>
      <c r="J663" s="413"/>
      <c r="K663" s="401"/>
      <c r="L663" s="192"/>
    </row>
    <row r="664" spans="1:12" ht="32.25" customHeight="1" x14ac:dyDescent="0.25">
      <c r="A664" s="29" t="s">
        <v>272</v>
      </c>
      <c r="B664" s="390">
        <v>906</v>
      </c>
      <c r="C664" s="392" t="s">
        <v>264</v>
      </c>
      <c r="D664" s="392" t="s">
        <v>118</v>
      </c>
      <c r="E664" s="392" t="s">
        <v>1239</v>
      </c>
      <c r="F664" s="392" t="s">
        <v>273</v>
      </c>
      <c r="G664" s="397">
        <f>G665</f>
        <v>2245.4</v>
      </c>
      <c r="H664" s="397">
        <f t="shared" si="318"/>
        <v>2217.7280000000001</v>
      </c>
      <c r="I664" s="397">
        <f t="shared" si="314"/>
        <v>98.767613788189195</v>
      </c>
      <c r="J664" s="413"/>
      <c r="K664" s="401"/>
      <c r="L664" s="192"/>
    </row>
    <row r="665" spans="1:12" ht="15.75" customHeight="1" x14ac:dyDescent="0.25">
      <c r="A665" s="180" t="s">
        <v>274</v>
      </c>
      <c r="B665" s="390">
        <v>906</v>
      </c>
      <c r="C665" s="392" t="s">
        <v>264</v>
      </c>
      <c r="D665" s="392" t="s">
        <v>118</v>
      </c>
      <c r="E665" s="392" t="s">
        <v>1239</v>
      </c>
      <c r="F665" s="392" t="s">
        <v>275</v>
      </c>
      <c r="G665" s="397">
        <f>3088+80-786.6-80-56</f>
        <v>2245.4</v>
      </c>
      <c r="H665" s="397">
        <v>2217.7280000000001</v>
      </c>
      <c r="I665" s="397">
        <f t="shared" si="314"/>
        <v>98.767613788189195</v>
      </c>
      <c r="J665" s="413"/>
      <c r="K665" s="401"/>
      <c r="L665" s="192"/>
    </row>
    <row r="666" spans="1:12" ht="50.25" customHeight="1" x14ac:dyDescent="0.25">
      <c r="A666" s="60" t="s">
        <v>765</v>
      </c>
      <c r="B666" s="390">
        <v>906</v>
      </c>
      <c r="C666" s="392" t="s">
        <v>264</v>
      </c>
      <c r="D666" s="392" t="s">
        <v>118</v>
      </c>
      <c r="E666" s="392" t="s">
        <v>1240</v>
      </c>
      <c r="F666" s="392"/>
      <c r="G666" s="397">
        <f>G667</f>
        <v>936</v>
      </c>
      <c r="H666" s="397">
        <f t="shared" ref="H666:H667" si="319">H667</f>
        <v>903.75699999999995</v>
      </c>
      <c r="I666" s="397">
        <f t="shared" si="314"/>
        <v>96.555235042735035</v>
      </c>
      <c r="J666" s="413"/>
      <c r="K666" s="401"/>
      <c r="L666" s="192"/>
    </row>
    <row r="667" spans="1:12" ht="31.5" x14ac:dyDescent="0.25">
      <c r="A667" s="29" t="s">
        <v>272</v>
      </c>
      <c r="B667" s="390">
        <v>906</v>
      </c>
      <c r="C667" s="392" t="s">
        <v>264</v>
      </c>
      <c r="D667" s="392" t="s">
        <v>118</v>
      </c>
      <c r="E667" s="392" t="s">
        <v>1240</v>
      </c>
      <c r="F667" s="392" t="s">
        <v>273</v>
      </c>
      <c r="G667" s="397">
        <f>G668</f>
        <v>936</v>
      </c>
      <c r="H667" s="397">
        <f t="shared" si="319"/>
        <v>903.75699999999995</v>
      </c>
      <c r="I667" s="397">
        <f t="shared" si="314"/>
        <v>96.555235042735035</v>
      </c>
      <c r="J667" s="413"/>
      <c r="K667" s="401"/>
      <c r="L667" s="192"/>
    </row>
    <row r="668" spans="1:12" ht="15.75" x14ac:dyDescent="0.25">
      <c r="A668" s="180" t="s">
        <v>274</v>
      </c>
      <c r="B668" s="390">
        <v>906</v>
      </c>
      <c r="C668" s="392" t="s">
        <v>264</v>
      </c>
      <c r="D668" s="392" t="s">
        <v>118</v>
      </c>
      <c r="E668" s="392" t="s">
        <v>1240</v>
      </c>
      <c r="F668" s="392" t="s">
        <v>275</v>
      </c>
      <c r="G668" s="397">
        <f>1760-500-24-80-84-136</f>
        <v>936</v>
      </c>
      <c r="H668" s="397">
        <v>903.75699999999995</v>
      </c>
      <c r="I668" s="397">
        <f t="shared" si="314"/>
        <v>96.555235042735035</v>
      </c>
      <c r="J668" s="413"/>
      <c r="K668" s="401"/>
      <c r="L668" s="192"/>
    </row>
    <row r="669" spans="1:12" s="192" customFormat="1" ht="63" x14ac:dyDescent="0.25">
      <c r="A669" s="394" t="s">
        <v>932</v>
      </c>
      <c r="B669" s="391">
        <v>906</v>
      </c>
      <c r="C669" s="395" t="s">
        <v>264</v>
      </c>
      <c r="D669" s="395" t="s">
        <v>118</v>
      </c>
      <c r="E669" s="395" t="s">
        <v>1241</v>
      </c>
      <c r="F669" s="395"/>
      <c r="G669" s="393">
        <f>G670</f>
        <v>291.10000000000002</v>
      </c>
      <c r="H669" s="393">
        <f t="shared" ref="H669:H671" si="320">H670</f>
        <v>91</v>
      </c>
      <c r="I669" s="393">
        <f t="shared" si="314"/>
        <v>31.260735142562691</v>
      </c>
      <c r="J669" s="413"/>
      <c r="K669" s="401"/>
    </row>
    <row r="670" spans="1:12" ht="96.4" customHeight="1" x14ac:dyDescent="0.25">
      <c r="A670" s="396" t="s">
        <v>1491</v>
      </c>
      <c r="B670" s="390">
        <v>906</v>
      </c>
      <c r="C670" s="392" t="s">
        <v>264</v>
      </c>
      <c r="D670" s="392" t="s">
        <v>118</v>
      </c>
      <c r="E670" s="392" t="s">
        <v>1242</v>
      </c>
      <c r="F670" s="392"/>
      <c r="G670" s="397">
        <f>G671</f>
        <v>291.10000000000002</v>
      </c>
      <c r="H670" s="397">
        <f t="shared" si="320"/>
        <v>91</v>
      </c>
      <c r="I670" s="397">
        <f t="shared" si="314"/>
        <v>31.260735142562691</v>
      </c>
      <c r="J670" s="413"/>
      <c r="K670" s="401"/>
      <c r="L670" s="192"/>
    </row>
    <row r="671" spans="1:12" ht="31.5" x14ac:dyDescent="0.25">
      <c r="A671" s="29" t="s">
        <v>272</v>
      </c>
      <c r="B671" s="390">
        <v>906</v>
      </c>
      <c r="C671" s="392" t="s">
        <v>264</v>
      </c>
      <c r="D671" s="392" t="s">
        <v>118</v>
      </c>
      <c r="E671" s="392" t="s">
        <v>1242</v>
      </c>
      <c r="F671" s="392" t="s">
        <v>273</v>
      </c>
      <c r="G671" s="397">
        <f>G672</f>
        <v>291.10000000000002</v>
      </c>
      <c r="H671" s="397">
        <f t="shared" si="320"/>
        <v>91</v>
      </c>
      <c r="I671" s="397">
        <f t="shared" si="314"/>
        <v>31.260735142562691</v>
      </c>
      <c r="J671" s="413"/>
      <c r="K671" s="401"/>
      <c r="L671" s="192"/>
    </row>
    <row r="672" spans="1:12" ht="18.75" customHeight="1" x14ac:dyDescent="0.25">
      <c r="A672" s="180" t="s">
        <v>274</v>
      </c>
      <c r="B672" s="390">
        <v>906</v>
      </c>
      <c r="C672" s="392" t="s">
        <v>264</v>
      </c>
      <c r="D672" s="392" t="s">
        <v>118</v>
      </c>
      <c r="E672" s="392" t="s">
        <v>1242</v>
      </c>
      <c r="F672" s="392" t="s">
        <v>275</v>
      </c>
      <c r="G672" s="397">
        <f>124.4+166.7</f>
        <v>291.10000000000002</v>
      </c>
      <c r="H672" s="397">
        <v>91</v>
      </c>
      <c r="I672" s="397">
        <f t="shared" si="314"/>
        <v>31.260735142562691</v>
      </c>
      <c r="J672" s="413"/>
      <c r="K672" s="401"/>
      <c r="L672" s="192"/>
    </row>
    <row r="673" spans="1:13" s="192" customFormat="1" ht="84.2" customHeight="1" x14ac:dyDescent="0.25">
      <c r="A673" s="394" t="s">
        <v>1164</v>
      </c>
      <c r="B673" s="391">
        <v>906</v>
      </c>
      <c r="C673" s="395" t="s">
        <v>264</v>
      </c>
      <c r="D673" s="395" t="s">
        <v>118</v>
      </c>
      <c r="E673" s="395" t="s">
        <v>1244</v>
      </c>
      <c r="F673" s="395"/>
      <c r="G673" s="393">
        <f>G674+G677</f>
        <v>1738</v>
      </c>
      <c r="H673" s="393">
        <f>H674+H677</f>
        <v>1410.192</v>
      </c>
      <c r="I673" s="393">
        <f t="shared" si="314"/>
        <v>81.138780207134644</v>
      </c>
      <c r="J673" s="413"/>
      <c r="K673" s="401"/>
    </row>
    <row r="674" spans="1:13" s="192" customFormat="1" ht="79.5" customHeight="1" x14ac:dyDescent="0.25">
      <c r="A674" s="148" t="s">
        <v>1492</v>
      </c>
      <c r="B674" s="390">
        <v>906</v>
      </c>
      <c r="C674" s="392" t="s">
        <v>264</v>
      </c>
      <c r="D674" s="392" t="s">
        <v>118</v>
      </c>
      <c r="E674" s="392" t="s">
        <v>1245</v>
      </c>
      <c r="F674" s="392"/>
      <c r="G674" s="397">
        <f>G675</f>
        <v>1738</v>
      </c>
      <c r="H674" s="397">
        <f t="shared" ref="H674:H675" si="321">H675</f>
        <v>1410.192</v>
      </c>
      <c r="I674" s="397">
        <f t="shared" si="314"/>
        <v>81.138780207134644</v>
      </c>
      <c r="J674" s="413"/>
      <c r="K674" s="401"/>
    </row>
    <row r="675" spans="1:13" s="192" customFormat="1" ht="33.75" customHeight="1" x14ac:dyDescent="0.25">
      <c r="A675" s="396" t="s">
        <v>272</v>
      </c>
      <c r="B675" s="390">
        <v>906</v>
      </c>
      <c r="C675" s="392" t="s">
        <v>264</v>
      </c>
      <c r="D675" s="392" t="s">
        <v>118</v>
      </c>
      <c r="E675" s="392" t="s">
        <v>1245</v>
      </c>
      <c r="F675" s="392" t="s">
        <v>273</v>
      </c>
      <c r="G675" s="397">
        <f>G676</f>
        <v>1738</v>
      </c>
      <c r="H675" s="397">
        <f t="shared" si="321"/>
        <v>1410.192</v>
      </c>
      <c r="I675" s="397">
        <f t="shared" si="314"/>
        <v>81.138780207134644</v>
      </c>
      <c r="J675" s="413"/>
      <c r="K675" s="401"/>
    </row>
    <row r="676" spans="1:13" s="192" customFormat="1" ht="18.75" customHeight="1" x14ac:dyDescent="0.25">
      <c r="A676" s="396" t="s">
        <v>274</v>
      </c>
      <c r="B676" s="390">
        <v>906</v>
      </c>
      <c r="C676" s="392" t="s">
        <v>264</v>
      </c>
      <c r="D676" s="392" t="s">
        <v>118</v>
      </c>
      <c r="E676" s="392" t="s">
        <v>1245</v>
      </c>
      <c r="F676" s="392" t="s">
        <v>275</v>
      </c>
      <c r="G676" s="397">
        <f>1666.6+71.4</f>
        <v>1738</v>
      </c>
      <c r="H676" s="397">
        <v>1410.192</v>
      </c>
      <c r="I676" s="397">
        <f t="shared" si="314"/>
        <v>81.138780207134644</v>
      </c>
      <c r="J676" s="413"/>
      <c r="K676" s="401"/>
    </row>
    <row r="677" spans="1:13" s="192" customFormat="1" ht="82.5" hidden="1" customHeight="1" x14ac:dyDescent="0.25">
      <c r="A677" s="148" t="s">
        <v>1179</v>
      </c>
      <c r="B677" s="390">
        <v>906</v>
      </c>
      <c r="C677" s="392" t="s">
        <v>264</v>
      </c>
      <c r="D677" s="392" t="s">
        <v>118</v>
      </c>
      <c r="E677" s="392" t="s">
        <v>1246</v>
      </c>
      <c r="F677" s="392"/>
      <c r="G677" s="397">
        <f>G678</f>
        <v>0</v>
      </c>
      <c r="H677" s="397">
        <f t="shared" ref="H677:H678" si="322">H678</f>
        <v>0</v>
      </c>
      <c r="I677" s="397" t="e">
        <f t="shared" si="314"/>
        <v>#DIV/0!</v>
      </c>
      <c r="J677" s="413"/>
      <c r="K677" s="401"/>
    </row>
    <row r="678" spans="1:13" s="192" customFormat="1" ht="36.75" hidden="1" customHeight="1" x14ac:dyDescent="0.25">
      <c r="A678" s="396" t="s">
        <v>272</v>
      </c>
      <c r="B678" s="390">
        <v>906</v>
      </c>
      <c r="C678" s="392" t="s">
        <v>264</v>
      </c>
      <c r="D678" s="392" t="s">
        <v>118</v>
      </c>
      <c r="E678" s="392" t="s">
        <v>1246</v>
      </c>
      <c r="F678" s="392" t="s">
        <v>273</v>
      </c>
      <c r="G678" s="397">
        <f>G679</f>
        <v>0</v>
      </c>
      <c r="H678" s="397">
        <f t="shared" si="322"/>
        <v>0</v>
      </c>
      <c r="I678" s="397" t="e">
        <f t="shared" si="314"/>
        <v>#DIV/0!</v>
      </c>
      <c r="J678" s="413"/>
      <c r="K678" s="401"/>
    </row>
    <row r="679" spans="1:13" s="192" customFormat="1" ht="18.75" hidden="1" customHeight="1" x14ac:dyDescent="0.25">
      <c r="A679" s="396" t="s">
        <v>274</v>
      </c>
      <c r="B679" s="390">
        <v>906</v>
      </c>
      <c r="C679" s="392" t="s">
        <v>264</v>
      </c>
      <c r="D679" s="392" t="s">
        <v>118</v>
      </c>
      <c r="E679" s="392" t="s">
        <v>1246</v>
      </c>
      <c r="F679" s="392" t="s">
        <v>275</v>
      </c>
      <c r="G679" s="397"/>
      <c r="H679" s="397"/>
      <c r="I679" s="397" t="e">
        <f t="shared" si="314"/>
        <v>#DIV/0!</v>
      </c>
      <c r="J679" s="413"/>
      <c r="K679" s="401"/>
    </row>
    <row r="680" spans="1:13" s="192" customFormat="1" ht="31.5" x14ac:dyDescent="0.25">
      <c r="A680" s="496" t="s">
        <v>1554</v>
      </c>
      <c r="B680" s="482">
        <v>906</v>
      </c>
      <c r="C680" s="483" t="s">
        <v>264</v>
      </c>
      <c r="D680" s="483" t="s">
        <v>118</v>
      </c>
      <c r="E680" s="483" t="s">
        <v>1556</v>
      </c>
      <c r="F680" s="483"/>
      <c r="G680" s="480">
        <f>G681</f>
        <v>9.8149999999999977</v>
      </c>
      <c r="H680" s="480">
        <f t="shared" ref="H680:H682" si="323">H681</f>
        <v>0</v>
      </c>
      <c r="I680" s="397">
        <f t="shared" si="314"/>
        <v>0</v>
      </c>
      <c r="J680" s="413"/>
      <c r="K680" s="401"/>
    </row>
    <row r="681" spans="1:13" s="192" customFormat="1" ht="31.5" x14ac:dyDescent="0.25">
      <c r="A681" s="497" t="s">
        <v>1555</v>
      </c>
      <c r="B681" s="478">
        <v>906</v>
      </c>
      <c r="C681" s="479" t="s">
        <v>264</v>
      </c>
      <c r="D681" s="479" t="s">
        <v>118</v>
      </c>
      <c r="E681" s="479" t="s">
        <v>1557</v>
      </c>
      <c r="F681" s="479"/>
      <c r="G681" s="480">
        <f>G682</f>
        <v>9.8149999999999977</v>
      </c>
      <c r="H681" s="480">
        <f t="shared" si="323"/>
        <v>0</v>
      </c>
      <c r="I681" s="397">
        <f t="shared" si="314"/>
        <v>0</v>
      </c>
      <c r="J681" s="413"/>
      <c r="K681" s="401"/>
    </row>
    <row r="682" spans="1:13" s="192" customFormat="1" ht="31.5" x14ac:dyDescent="0.25">
      <c r="A682" s="487" t="s">
        <v>272</v>
      </c>
      <c r="B682" s="478">
        <v>906</v>
      </c>
      <c r="C682" s="479" t="s">
        <v>264</v>
      </c>
      <c r="D682" s="479" t="s">
        <v>118</v>
      </c>
      <c r="E682" s="479" t="s">
        <v>1557</v>
      </c>
      <c r="F682" s="479" t="s">
        <v>273</v>
      </c>
      <c r="G682" s="480">
        <f>G683</f>
        <v>9.8149999999999977</v>
      </c>
      <c r="H682" s="480">
        <f t="shared" si="323"/>
        <v>0</v>
      </c>
      <c r="I682" s="397">
        <f t="shared" si="314"/>
        <v>0</v>
      </c>
      <c r="J682" s="413"/>
      <c r="K682" s="401"/>
    </row>
    <row r="683" spans="1:13" s="192" customFormat="1" ht="18.75" customHeight="1" x14ac:dyDescent="0.25">
      <c r="A683" s="487" t="s">
        <v>274</v>
      </c>
      <c r="B683" s="478">
        <v>906</v>
      </c>
      <c r="C683" s="479" t="s">
        <v>264</v>
      </c>
      <c r="D683" s="479" t="s">
        <v>118</v>
      </c>
      <c r="E683" s="479" t="s">
        <v>1557</v>
      </c>
      <c r="F683" s="479" t="s">
        <v>275</v>
      </c>
      <c r="G683" s="480">
        <f>228.8+9.815-228.8</f>
        <v>9.8149999999999977</v>
      </c>
      <c r="H683" s="480">
        <v>0</v>
      </c>
      <c r="I683" s="397">
        <f t="shared" si="314"/>
        <v>0</v>
      </c>
      <c r="J683" s="413"/>
      <c r="K683" s="401"/>
    </row>
    <row r="684" spans="1:13" s="192" customFormat="1" ht="33" customHeight="1" x14ac:dyDescent="0.25">
      <c r="A684" s="268" t="s">
        <v>1559</v>
      </c>
      <c r="B684" s="391">
        <v>906</v>
      </c>
      <c r="C684" s="395" t="s">
        <v>264</v>
      </c>
      <c r="D684" s="395" t="s">
        <v>118</v>
      </c>
      <c r="E684" s="395" t="s">
        <v>1562</v>
      </c>
      <c r="F684" s="395"/>
      <c r="G684" s="393">
        <f>G685</f>
        <v>2606.89</v>
      </c>
      <c r="H684" s="393">
        <f t="shared" ref="H684:H686" si="324">H685</f>
        <v>2352.38</v>
      </c>
      <c r="I684" s="393">
        <f t="shared" si="314"/>
        <v>90.237025727974725</v>
      </c>
      <c r="J684" s="413"/>
      <c r="K684" s="401"/>
    </row>
    <row r="685" spans="1:13" s="192" customFormat="1" ht="33" customHeight="1" x14ac:dyDescent="0.25">
      <c r="A685" s="267" t="s">
        <v>1560</v>
      </c>
      <c r="B685" s="390">
        <v>906</v>
      </c>
      <c r="C685" s="392" t="s">
        <v>264</v>
      </c>
      <c r="D685" s="392" t="s">
        <v>118</v>
      </c>
      <c r="E685" s="392" t="s">
        <v>1561</v>
      </c>
      <c r="F685" s="392"/>
      <c r="G685" s="397">
        <f>G686</f>
        <v>2606.89</v>
      </c>
      <c r="H685" s="397">
        <f t="shared" si="324"/>
        <v>2352.38</v>
      </c>
      <c r="I685" s="397">
        <f t="shared" si="314"/>
        <v>90.237025727974725</v>
      </c>
      <c r="J685" s="413"/>
      <c r="K685" s="401"/>
    </row>
    <row r="686" spans="1:13" s="192" customFormat="1" ht="31.5" x14ac:dyDescent="0.25">
      <c r="A686" s="31" t="s">
        <v>272</v>
      </c>
      <c r="B686" s="390">
        <v>906</v>
      </c>
      <c r="C686" s="392" t="s">
        <v>264</v>
      </c>
      <c r="D686" s="392" t="s">
        <v>118</v>
      </c>
      <c r="E686" s="392" t="s">
        <v>1561</v>
      </c>
      <c r="F686" s="392" t="s">
        <v>273</v>
      </c>
      <c r="G686" s="397">
        <f>G687</f>
        <v>2606.89</v>
      </c>
      <c r="H686" s="397">
        <f t="shared" si="324"/>
        <v>2352.38</v>
      </c>
      <c r="I686" s="397">
        <f t="shared" si="314"/>
        <v>90.237025727974725</v>
      </c>
      <c r="J686" s="413"/>
      <c r="K686" s="401"/>
    </row>
    <row r="687" spans="1:13" s="192" customFormat="1" ht="18.75" customHeight="1" x14ac:dyDescent="0.25">
      <c r="A687" s="31" t="s">
        <v>274</v>
      </c>
      <c r="B687" s="390">
        <v>906</v>
      </c>
      <c r="C687" s="392" t="s">
        <v>264</v>
      </c>
      <c r="D687" s="392" t="s">
        <v>118</v>
      </c>
      <c r="E687" s="392" t="s">
        <v>1561</v>
      </c>
      <c r="F687" s="392" t="s">
        <v>275</v>
      </c>
      <c r="G687" s="397">
        <f>2500+106.89</f>
        <v>2606.89</v>
      </c>
      <c r="H687" s="397">
        <v>2352.38</v>
      </c>
      <c r="I687" s="397">
        <f t="shared" si="314"/>
        <v>90.237025727974725</v>
      </c>
      <c r="J687" s="413"/>
      <c r="K687" s="401"/>
      <c r="M687" s="407"/>
    </row>
    <row r="688" spans="1:13" ht="46.9" customHeight="1" x14ac:dyDescent="0.25">
      <c r="A688" s="34" t="s">
        <v>1356</v>
      </c>
      <c r="B688" s="391">
        <v>906</v>
      </c>
      <c r="C688" s="395" t="s">
        <v>264</v>
      </c>
      <c r="D688" s="395" t="s">
        <v>118</v>
      </c>
      <c r="E688" s="395" t="s">
        <v>324</v>
      </c>
      <c r="F688" s="395"/>
      <c r="G688" s="393">
        <f>G689</f>
        <v>95</v>
      </c>
      <c r="H688" s="393">
        <f t="shared" ref="H688:H691" si="325">H689</f>
        <v>94.78</v>
      </c>
      <c r="I688" s="393">
        <f t="shared" si="314"/>
        <v>99.768421052631581</v>
      </c>
      <c r="J688" s="413"/>
      <c r="K688" s="401"/>
      <c r="L688" s="192"/>
    </row>
    <row r="689" spans="1:12" s="192" customFormat="1" ht="49.7" customHeight="1" x14ac:dyDescent="0.25">
      <c r="A689" s="34" t="s">
        <v>1008</v>
      </c>
      <c r="B689" s="391">
        <v>906</v>
      </c>
      <c r="C689" s="395" t="s">
        <v>264</v>
      </c>
      <c r="D689" s="395" t="s">
        <v>118</v>
      </c>
      <c r="E689" s="395" t="s">
        <v>933</v>
      </c>
      <c r="F689" s="395"/>
      <c r="G689" s="393">
        <f>G690</f>
        <v>95</v>
      </c>
      <c r="H689" s="393">
        <f t="shared" si="325"/>
        <v>94.78</v>
      </c>
      <c r="I689" s="393">
        <f t="shared" si="314"/>
        <v>99.768421052631581</v>
      </c>
      <c r="J689" s="413"/>
      <c r="K689" s="401"/>
    </row>
    <row r="690" spans="1:12" ht="35.450000000000003" customHeight="1" x14ac:dyDescent="0.25">
      <c r="A690" s="31" t="s">
        <v>1082</v>
      </c>
      <c r="B690" s="390">
        <v>906</v>
      </c>
      <c r="C690" s="392" t="s">
        <v>264</v>
      </c>
      <c r="D690" s="392" t="s">
        <v>118</v>
      </c>
      <c r="E690" s="392" t="s">
        <v>934</v>
      </c>
      <c r="F690" s="392"/>
      <c r="G690" s="397">
        <f>G691</f>
        <v>95</v>
      </c>
      <c r="H690" s="397">
        <f t="shared" si="325"/>
        <v>94.78</v>
      </c>
      <c r="I690" s="397">
        <f t="shared" si="314"/>
        <v>99.768421052631581</v>
      </c>
      <c r="J690" s="413"/>
      <c r="K690" s="401"/>
      <c r="L690" s="192"/>
    </row>
    <row r="691" spans="1:12" ht="32.450000000000003" customHeight="1" x14ac:dyDescent="0.25">
      <c r="A691" s="31" t="s">
        <v>272</v>
      </c>
      <c r="B691" s="390">
        <v>906</v>
      </c>
      <c r="C691" s="392" t="s">
        <v>264</v>
      </c>
      <c r="D691" s="392" t="s">
        <v>118</v>
      </c>
      <c r="E691" s="392" t="s">
        <v>934</v>
      </c>
      <c r="F691" s="392" t="s">
        <v>273</v>
      </c>
      <c r="G691" s="397">
        <f>G692</f>
        <v>95</v>
      </c>
      <c r="H691" s="397">
        <f t="shared" si="325"/>
        <v>94.78</v>
      </c>
      <c r="I691" s="397">
        <f t="shared" si="314"/>
        <v>99.768421052631581</v>
      </c>
      <c r="J691" s="413"/>
      <c r="K691" s="401"/>
      <c r="L691" s="192"/>
    </row>
    <row r="692" spans="1:12" ht="16.5" customHeight="1" x14ac:dyDescent="0.25">
      <c r="A692" s="31" t="s">
        <v>274</v>
      </c>
      <c r="B692" s="390">
        <v>906</v>
      </c>
      <c r="C692" s="392" t="s">
        <v>264</v>
      </c>
      <c r="D692" s="392" t="s">
        <v>118</v>
      </c>
      <c r="E692" s="392" t="s">
        <v>934</v>
      </c>
      <c r="F692" s="392" t="s">
        <v>275</v>
      </c>
      <c r="G692" s="397">
        <f>95-70+70</f>
        <v>95</v>
      </c>
      <c r="H692" s="397">
        <v>94.78</v>
      </c>
      <c r="I692" s="397">
        <f t="shared" si="314"/>
        <v>99.768421052631581</v>
      </c>
      <c r="J692" s="413"/>
      <c r="K692" s="401"/>
      <c r="L692" s="192"/>
    </row>
    <row r="693" spans="1:12" ht="46.5" customHeight="1" x14ac:dyDescent="0.25">
      <c r="A693" s="400" t="s">
        <v>1340</v>
      </c>
      <c r="B693" s="391">
        <v>906</v>
      </c>
      <c r="C693" s="395" t="s">
        <v>264</v>
      </c>
      <c r="D693" s="395" t="s">
        <v>118</v>
      </c>
      <c r="E693" s="395" t="s">
        <v>705</v>
      </c>
      <c r="F693" s="403"/>
      <c r="G693" s="393">
        <f>G695</f>
        <v>600.20000000000005</v>
      </c>
      <c r="H693" s="393">
        <f t="shared" ref="H693" si="326">H695</f>
        <v>590.07100000000003</v>
      </c>
      <c r="I693" s="393">
        <f t="shared" si="314"/>
        <v>98.312395868043978</v>
      </c>
      <c r="J693" s="413"/>
      <c r="K693" s="401"/>
      <c r="L693" s="192"/>
    </row>
    <row r="694" spans="1:12" s="192" customFormat="1" ht="46.5" customHeight="1" x14ac:dyDescent="0.25">
      <c r="A694" s="400" t="s">
        <v>889</v>
      </c>
      <c r="B694" s="391">
        <v>906</v>
      </c>
      <c r="C694" s="395" t="s">
        <v>264</v>
      </c>
      <c r="D694" s="395" t="s">
        <v>118</v>
      </c>
      <c r="E694" s="395" t="s">
        <v>887</v>
      </c>
      <c r="F694" s="403"/>
      <c r="G694" s="393">
        <f>G695</f>
        <v>600.20000000000005</v>
      </c>
      <c r="H694" s="393">
        <f t="shared" ref="H694:H696" si="327">H695</f>
        <v>590.07100000000003</v>
      </c>
      <c r="I694" s="393">
        <f t="shared" si="314"/>
        <v>98.312395868043978</v>
      </c>
      <c r="J694" s="413"/>
      <c r="K694" s="401"/>
    </row>
    <row r="695" spans="1:12" ht="36" customHeight="1" x14ac:dyDescent="0.25">
      <c r="A695" s="98" t="s">
        <v>780</v>
      </c>
      <c r="B695" s="390">
        <v>906</v>
      </c>
      <c r="C695" s="392" t="s">
        <v>264</v>
      </c>
      <c r="D695" s="392" t="s">
        <v>118</v>
      </c>
      <c r="E695" s="392" t="s">
        <v>935</v>
      </c>
      <c r="F695" s="398"/>
      <c r="G695" s="397">
        <f>G696</f>
        <v>600.20000000000005</v>
      </c>
      <c r="H695" s="397">
        <f t="shared" si="327"/>
        <v>590.07100000000003</v>
      </c>
      <c r="I695" s="397">
        <f t="shared" si="314"/>
        <v>98.312395868043978</v>
      </c>
      <c r="J695" s="413"/>
      <c r="K695" s="401"/>
      <c r="L695" s="192"/>
    </row>
    <row r="696" spans="1:12" ht="35.450000000000003" customHeight="1" x14ac:dyDescent="0.25">
      <c r="A696" s="29" t="s">
        <v>272</v>
      </c>
      <c r="B696" s="390">
        <v>906</v>
      </c>
      <c r="C696" s="392" t="s">
        <v>264</v>
      </c>
      <c r="D696" s="392" t="s">
        <v>118</v>
      </c>
      <c r="E696" s="392" t="s">
        <v>935</v>
      </c>
      <c r="F696" s="398" t="s">
        <v>273</v>
      </c>
      <c r="G696" s="397">
        <f>G697</f>
        <v>600.20000000000005</v>
      </c>
      <c r="H696" s="397">
        <f t="shared" si="327"/>
        <v>590.07100000000003</v>
      </c>
      <c r="I696" s="397">
        <f t="shared" si="314"/>
        <v>98.312395868043978</v>
      </c>
      <c r="J696" s="413"/>
      <c r="K696" s="401"/>
      <c r="L696" s="192"/>
    </row>
    <row r="697" spans="1:12" ht="15.75" customHeight="1" x14ac:dyDescent="0.25">
      <c r="A697" s="180" t="s">
        <v>274</v>
      </c>
      <c r="B697" s="390">
        <v>906</v>
      </c>
      <c r="C697" s="392" t="s">
        <v>264</v>
      </c>
      <c r="D697" s="392" t="s">
        <v>118</v>
      </c>
      <c r="E697" s="392" t="s">
        <v>935</v>
      </c>
      <c r="F697" s="398" t="s">
        <v>275</v>
      </c>
      <c r="G697" s="397">
        <f>549+27.2+24</f>
        <v>600.20000000000005</v>
      </c>
      <c r="H697" s="397">
        <v>590.07100000000003</v>
      </c>
      <c r="I697" s="397">
        <f t="shared" si="314"/>
        <v>98.312395868043978</v>
      </c>
      <c r="J697" s="413"/>
      <c r="K697" s="401"/>
      <c r="L697" s="192"/>
    </row>
    <row r="698" spans="1:12" ht="15.75" x14ac:dyDescent="0.25">
      <c r="A698" s="394" t="s">
        <v>425</v>
      </c>
      <c r="B698" s="391">
        <v>906</v>
      </c>
      <c r="C698" s="395" t="s">
        <v>264</v>
      </c>
      <c r="D698" s="395" t="s">
        <v>213</v>
      </c>
      <c r="E698" s="395"/>
      <c r="F698" s="395"/>
      <c r="G698" s="393">
        <f>G699+G779+G784</f>
        <v>194871.88</v>
      </c>
      <c r="H698" s="393">
        <f>H699+H779+H784</f>
        <v>192216.45499999999</v>
      </c>
      <c r="I698" s="393">
        <f t="shared" si="314"/>
        <v>98.637348292632055</v>
      </c>
      <c r="J698" s="413"/>
      <c r="K698" s="401"/>
      <c r="L698" s="192"/>
    </row>
    <row r="699" spans="1:12" ht="36.75" customHeight="1" x14ac:dyDescent="0.25">
      <c r="A699" s="394" t="s">
        <v>1357</v>
      </c>
      <c r="B699" s="391">
        <v>906</v>
      </c>
      <c r="C699" s="395" t="s">
        <v>264</v>
      </c>
      <c r="D699" s="395" t="s">
        <v>213</v>
      </c>
      <c r="E699" s="395" t="s">
        <v>406</v>
      </c>
      <c r="F699" s="395"/>
      <c r="G699" s="393">
        <f>G700+G704+G723+G736+G743+G747+G751+G771+G755+G759+G775+G763+G767</f>
        <v>194034.88</v>
      </c>
      <c r="H699" s="393">
        <f t="shared" ref="H699" si="328">H700+H704+H723+H736+H743+H747+H751+H771+H755+H759+H775+H763+H767</f>
        <v>191432.07199999999</v>
      </c>
      <c r="I699" s="393">
        <f t="shared" si="314"/>
        <v>98.658587569410201</v>
      </c>
      <c r="J699" s="413"/>
      <c r="K699" s="401"/>
      <c r="L699" s="192"/>
    </row>
    <row r="700" spans="1:12" s="192" customFormat="1" ht="37.5" customHeight="1" x14ac:dyDescent="0.25">
      <c r="A700" s="394" t="s">
        <v>936</v>
      </c>
      <c r="B700" s="391">
        <v>906</v>
      </c>
      <c r="C700" s="395" t="s">
        <v>264</v>
      </c>
      <c r="D700" s="395" t="s">
        <v>213</v>
      </c>
      <c r="E700" s="395" t="s">
        <v>1228</v>
      </c>
      <c r="F700" s="395"/>
      <c r="G700" s="393">
        <f>G701</f>
        <v>31403.812999999998</v>
      </c>
      <c r="H700" s="393">
        <f t="shared" ref="H700:H702" si="329">H701</f>
        <v>31398.613000000001</v>
      </c>
      <c r="I700" s="393">
        <f t="shared" si="314"/>
        <v>99.983441501196054</v>
      </c>
      <c r="J700" s="413"/>
      <c r="K700" s="401"/>
    </row>
    <row r="701" spans="1:12" ht="31.5" x14ac:dyDescent="0.25">
      <c r="A701" s="396" t="s">
        <v>1234</v>
      </c>
      <c r="B701" s="390">
        <v>906</v>
      </c>
      <c r="C701" s="392" t="s">
        <v>264</v>
      </c>
      <c r="D701" s="392" t="s">
        <v>213</v>
      </c>
      <c r="E701" s="392" t="s">
        <v>1247</v>
      </c>
      <c r="F701" s="392"/>
      <c r="G701" s="397">
        <f>G702</f>
        <v>31403.812999999998</v>
      </c>
      <c r="H701" s="397">
        <f t="shared" si="329"/>
        <v>31398.613000000001</v>
      </c>
      <c r="I701" s="397">
        <f t="shared" si="314"/>
        <v>99.983441501196054</v>
      </c>
      <c r="J701" s="413"/>
      <c r="K701" s="401"/>
      <c r="L701" s="192"/>
    </row>
    <row r="702" spans="1:12" ht="32.25" customHeight="1" x14ac:dyDescent="0.25">
      <c r="A702" s="396" t="s">
        <v>272</v>
      </c>
      <c r="B702" s="390">
        <v>906</v>
      </c>
      <c r="C702" s="392" t="s">
        <v>264</v>
      </c>
      <c r="D702" s="392" t="s">
        <v>213</v>
      </c>
      <c r="E702" s="392" t="s">
        <v>1247</v>
      </c>
      <c r="F702" s="392" t="s">
        <v>273</v>
      </c>
      <c r="G702" s="397">
        <f>G703</f>
        <v>31403.812999999998</v>
      </c>
      <c r="H702" s="397">
        <f t="shared" si="329"/>
        <v>31398.613000000001</v>
      </c>
      <c r="I702" s="397">
        <f t="shared" si="314"/>
        <v>99.983441501196054</v>
      </c>
      <c r="J702" s="413"/>
      <c r="K702" s="401"/>
      <c r="L702" s="192"/>
    </row>
    <row r="703" spans="1:12" ht="15.75" x14ac:dyDescent="0.25">
      <c r="A703" s="396" t="s">
        <v>274</v>
      </c>
      <c r="B703" s="390">
        <v>906</v>
      </c>
      <c r="C703" s="392" t="s">
        <v>264</v>
      </c>
      <c r="D703" s="392" t="s">
        <v>213</v>
      </c>
      <c r="E703" s="392" t="s">
        <v>1247</v>
      </c>
      <c r="F703" s="392" t="s">
        <v>275</v>
      </c>
      <c r="G703" s="27">
        <f>30805-2114.2+2925-44-296.98-261+389.993</f>
        <v>31403.812999999998</v>
      </c>
      <c r="H703" s="471">
        <v>31398.613000000001</v>
      </c>
      <c r="I703" s="397">
        <f t="shared" si="314"/>
        <v>99.983441501196054</v>
      </c>
      <c r="J703" s="417"/>
      <c r="K703" s="401"/>
      <c r="L703" s="192"/>
    </row>
    <row r="704" spans="1:12" s="192" customFormat="1" ht="36.75" customHeight="1" x14ac:dyDescent="0.25">
      <c r="A704" s="394" t="s">
        <v>899</v>
      </c>
      <c r="B704" s="391">
        <v>906</v>
      </c>
      <c r="C704" s="395" t="s">
        <v>264</v>
      </c>
      <c r="D704" s="395" t="s">
        <v>213</v>
      </c>
      <c r="E704" s="395" t="s">
        <v>1230</v>
      </c>
      <c r="F704" s="395"/>
      <c r="G704" s="44">
        <f>G711+G714+G717+G720+G708+G705</f>
        <v>140785.44300000003</v>
      </c>
      <c r="H704" s="44">
        <f>H711+H714+H717+H720+H708+H705</f>
        <v>139274.32999999999</v>
      </c>
      <c r="I704" s="393">
        <f t="shared" si="314"/>
        <v>98.926655364503816</v>
      </c>
      <c r="J704" s="413"/>
      <c r="K704" s="401"/>
    </row>
    <row r="705" spans="1:13" s="192" customFormat="1" ht="50.25" customHeight="1" x14ac:dyDescent="0.25">
      <c r="A705" s="396" t="s">
        <v>1391</v>
      </c>
      <c r="B705" s="390">
        <v>906</v>
      </c>
      <c r="C705" s="392" t="s">
        <v>264</v>
      </c>
      <c r="D705" s="392" t="s">
        <v>213</v>
      </c>
      <c r="E705" s="392" t="s">
        <v>1392</v>
      </c>
      <c r="F705" s="392"/>
      <c r="G705" s="27">
        <f>G706</f>
        <v>7028</v>
      </c>
      <c r="H705" s="27">
        <f t="shared" ref="H705:H706" si="330">H706</f>
        <v>6734.8</v>
      </c>
      <c r="I705" s="397">
        <f t="shared" si="314"/>
        <v>95.828116107000568</v>
      </c>
      <c r="J705" s="413"/>
      <c r="K705" s="401"/>
    </row>
    <row r="706" spans="1:13" s="192" customFormat="1" ht="36.75" customHeight="1" x14ac:dyDescent="0.25">
      <c r="A706" s="396" t="s">
        <v>272</v>
      </c>
      <c r="B706" s="390">
        <v>906</v>
      </c>
      <c r="C706" s="392" t="s">
        <v>264</v>
      </c>
      <c r="D706" s="392" t="s">
        <v>213</v>
      </c>
      <c r="E706" s="392" t="s">
        <v>1392</v>
      </c>
      <c r="F706" s="392" t="s">
        <v>273</v>
      </c>
      <c r="G706" s="27">
        <f>G707</f>
        <v>7028</v>
      </c>
      <c r="H706" s="27">
        <f t="shared" si="330"/>
        <v>6734.8</v>
      </c>
      <c r="I706" s="397">
        <f t="shared" si="314"/>
        <v>95.828116107000568</v>
      </c>
      <c r="J706" s="413"/>
      <c r="K706" s="401"/>
    </row>
    <row r="707" spans="1:13" s="192" customFormat="1" ht="19.7" customHeight="1" x14ac:dyDescent="0.25">
      <c r="A707" s="396" t="s">
        <v>274</v>
      </c>
      <c r="B707" s="390">
        <v>906</v>
      </c>
      <c r="C707" s="392" t="s">
        <v>264</v>
      </c>
      <c r="D707" s="392" t="s">
        <v>213</v>
      </c>
      <c r="E707" s="392" t="s">
        <v>1392</v>
      </c>
      <c r="F707" s="392" t="s">
        <v>275</v>
      </c>
      <c r="G707" s="27">
        <f>7226.1-198.1</f>
        <v>7028</v>
      </c>
      <c r="H707" s="27">
        <v>6734.8</v>
      </c>
      <c r="I707" s="397">
        <f t="shared" si="314"/>
        <v>95.828116107000568</v>
      </c>
      <c r="J707" s="413"/>
      <c r="K707" s="401"/>
    </row>
    <row r="708" spans="1:13" s="192" customFormat="1" ht="85.15" customHeight="1" x14ac:dyDescent="0.25">
      <c r="A708" s="31" t="s">
        <v>293</v>
      </c>
      <c r="B708" s="390">
        <v>906</v>
      </c>
      <c r="C708" s="392" t="s">
        <v>264</v>
      </c>
      <c r="D708" s="392" t="s">
        <v>213</v>
      </c>
      <c r="E708" s="392" t="s">
        <v>1389</v>
      </c>
      <c r="F708" s="392"/>
      <c r="G708" s="397">
        <f>G709</f>
        <v>4699.7370000000001</v>
      </c>
      <c r="H708" s="397">
        <f t="shared" ref="H708:H709" si="331">H709</f>
        <v>4649.268</v>
      </c>
      <c r="I708" s="397">
        <f t="shared" si="314"/>
        <v>98.926131398416544</v>
      </c>
      <c r="J708" s="413"/>
      <c r="K708" s="401"/>
    </row>
    <row r="709" spans="1:13" s="192" customFormat="1" ht="36.75" customHeight="1" x14ac:dyDescent="0.25">
      <c r="A709" s="396" t="s">
        <v>272</v>
      </c>
      <c r="B709" s="390">
        <v>906</v>
      </c>
      <c r="C709" s="392" t="s">
        <v>264</v>
      </c>
      <c r="D709" s="392" t="s">
        <v>213</v>
      </c>
      <c r="E709" s="392" t="s">
        <v>1389</v>
      </c>
      <c r="F709" s="392" t="s">
        <v>273</v>
      </c>
      <c r="G709" s="397">
        <f>G710</f>
        <v>4699.7370000000001</v>
      </c>
      <c r="H709" s="397">
        <f t="shared" si="331"/>
        <v>4649.268</v>
      </c>
      <c r="I709" s="397">
        <f t="shared" si="314"/>
        <v>98.926131398416544</v>
      </c>
      <c r="J709" s="413"/>
      <c r="K709" s="401"/>
    </row>
    <row r="710" spans="1:13" s="192" customFormat="1" ht="14.25" customHeight="1" x14ac:dyDescent="0.25">
      <c r="A710" s="396" t="s">
        <v>274</v>
      </c>
      <c r="B710" s="390">
        <v>906</v>
      </c>
      <c r="C710" s="392" t="s">
        <v>264</v>
      </c>
      <c r="D710" s="392" t="s">
        <v>213</v>
      </c>
      <c r="E710" s="392" t="s">
        <v>1389</v>
      </c>
      <c r="F710" s="392" t="s">
        <v>275</v>
      </c>
      <c r="G710" s="27">
        <f>4610+89.737</f>
        <v>4699.7370000000001</v>
      </c>
      <c r="H710" s="27">
        <v>4649.268</v>
      </c>
      <c r="I710" s="397">
        <f t="shared" si="314"/>
        <v>98.926131398416544</v>
      </c>
      <c r="J710" s="413"/>
      <c r="K710" s="401"/>
    </row>
    <row r="711" spans="1:13" s="192" customFormat="1" ht="63" x14ac:dyDescent="0.25">
      <c r="A711" s="31" t="s">
        <v>460</v>
      </c>
      <c r="B711" s="390">
        <v>906</v>
      </c>
      <c r="C711" s="392" t="s">
        <v>264</v>
      </c>
      <c r="D711" s="392" t="s">
        <v>213</v>
      </c>
      <c r="E711" s="392" t="s">
        <v>1248</v>
      </c>
      <c r="F711" s="392"/>
      <c r="G711" s="397">
        <f>G712</f>
        <v>124618.84300000002</v>
      </c>
      <c r="H711" s="397">
        <f t="shared" ref="H711:H712" si="332">H712</f>
        <v>124522.533</v>
      </c>
      <c r="I711" s="397">
        <f t="shared" si="314"/>
        <v>99.922716342343165</v>
      </c>
      <c r="J711" s="413"/>
      <c r="K711" s="401"/>
    </row>
    <row r="712" spans="1:13" s="192" customFormat="1" ht="31.5" x14ac:dyDescent="0.25">
      <c r="A712" s="396" t="s">
        <v>272</v>
      </c>
      <c r="B712" s="390">
        <v>906</v>
      </c>
      <c r="C712" s="392" t="s">
        <v>264</v>
      </c>
      <c r="D712" s="392" t="s">
        <v>213</v>
      </c>
      <c r="E712" s="392" t="s">
        <v>1248</v>
      </c>
      <c r="F712" s="392" t="s">
        <v>273</v>
      </c>
      <c r="G712" s="397">
        <f>G713</f>
        <v>124618.84300000002</v>
      </c>
      <c r="H712" s="397">
        <f t="shared" si="332"/>
        <v>124522.533</v>
      </c>
      <c r="I712" s="397">
        <f t="shared" si="314"/>
        <v>99.922716342343165</v>
      </c>
      <c r="J712" s="413"/>
      <c r="K712" s="401"/>
    </row>
    <row r="713" spans="1:13" s="192" customFormat="1" ht="15.75" x14ac:dyDescent="0.25">
      <c r="A713" s="396" t="s">
        <v>274</v>
      </c>
      <c r="B713" s="390">
        <v>906</v>
      </c>
      <c r="C713" s="392" t="s">
        <v>264</v>
      </c>
      <c r="D713" s="392" t="s">
        <v>213</v>
      </c>
      <c r="E713" s="392" t="s">
        <v>1248</v>
      </c>
      <c r="F713" s="392" t="s">
        <v>275</v>
      </c>
      <c r="G713" s="27">
        <f>131567.2-5318.53+5259.62-1591.082-3078.453-2219.912</f>
        <v>124618.84300000002</v>
      </c>
      <c r="H713" s="27">
        <v>124522.533</v>
      </c>
      <c r="I713" s="397">
        <f t="shared" si="314"/>
        <v>99.922716342343165</v>
      </c>
      <c r="J713" s="413"/>
      <c r="K713" s="401"/>
    </row>
    <row r="714" spans="1:13" s="192" customFormat="1" ht="63" x14ac:dyDescent="0.25">
      <c r="A714" s="31" t="s">
        <v>289</v>
      </c>
      <c r="B714" s="390">
        <v>906</v>
      </c>
      <c r="C714" s="392" t="s">
        <v>264</v>
      </c>
      <c r="D714" s="392" t="s">
        <v>213</v>
      </c>
      <c r="E714" s="392" t="s">
        <v>1231</v>
      </c>
      <c r="F714" s="392"/>
      <c r="G714" s="397">
        <f>G715</f>
        <v>1152.2629999999999</v>
      </c>
      <c r="H714" s="397">
        <f t="shared" ref="H714:H715" si="333">H715</f>
        <v>606.80700000000002</v>
      </c>
      <c r="I714" s="397">
        <f t="shared" ref="I714:I777" si="334">H714/G714*100</f>
        <v>52.662196043785144</v>
      </c>
      <c r="J714" s="413"/>
      <c r="K714" s="401"/>
    </row>
    <row r="715" spans="1:13" s="192" customFormat="1" ht="31.5" x14ac:dyDescent="0.25">
      <c r="A715" s="396" t="s">
        <v>272</v>
      </c>
      <c r="B715" s="390">
        <v>906</v>
      </c>
      <c r="C715" s="392" t="s">
        <v>264</v>
      </c>
      <c r="D715" s="392" t="s">
        <v>213</v>
      </c>
      <c r="E715" s="392" t="s">
        <v>1231</v>
      </c>
      <c r="F715" s="392" t="s">
        <v>273</v>
      </c>
      <c r="G715" s="397">
        <f>G716</f>
        <v>1152.2629999999999</v>
      </c>
      <c r="H715" s="397">
        <f t="shared" si="333"/>
        <v>606.80700000000002</v>
      </c>
      <c r="I715" s="397">
        <f t="shared" si="334"/>
        <v>52.662196043785144</v>
      </c>
      <c r="J715" s="413"/>
      <c r="K715" s="401"/>
    </row>
    <row r="716" spans="1:13" s="192" customFormat="1" ht="15.75" x14ac:dyDescent="0.25">
      <c r="A716" s="396" t="s">
        <v>274</v>
      </c>
      <c r="B716" s="390">
        <v>906</v>
      </c>
      <c r="C716" s="392" t="s">
        <v>264</v>
      </c>
      <c r="D716" s="392" t="s">
        <v>213</v>
      </c>
      <c r="E716" s="392" t="s">
        <v>1231</v>
      </c>
      <c r="F716" s="392" t="s">
        <v>275</v>
      </c>
      <c r="G716" s="27">
        <f>1311-158.737</f>
        <v>1152.2629999999999</v>
      </c>
      <c r="H716" s="27">
        <v>606.80700000000002</v>
      </c>
      <c r="I716" s="397">
        <f t="shared" si="334"/>
        <v>52.662196043785144</v>
      </c>
      <c r="J716" s="413"/>
      <c r="K716" s="401"/>
    </row>
    <row r="717" spans="1:13" s="192" customFormat="1" ht="63" x14ac:dyDescent="0.25">
      <c r="A717" s="31" t="s">
        <v>291</v>
      </c>
      <c r="B717" s="390">
        <v>906</v>
      </c>
      <c r="C717" s="392" t="s">
        <v>264</v>
      </c>
      <c r="D717" s="392" t="s">
        <v>213</v>
      </c>
      <c r="E717" s="392" t="s">
        <v>1232</v>
      </c>
      <c r="F717" s="392"/>
      <c r="G717" s="397">
        <f>G718</f>
        <v>2386.6</v>
      </c>
      <c r="H717" s="397">
        <f t="shared" ref="H717:H718" si="335">H718</f>
        <v>1998.92</v>
      </c>
      <c r="I717" s="397">
        <f t="shared" si="334"/>
        <v>83.755970837174232</v>
      </c>
      <c r="J717" s="413"/>
      <c r="K717" s="117"/>
      <c r="L717" s="214"/>
      <c r="M717" s="214"/>
    </row>
    <row r="718" spans="1:13" s="192" customFormat="1" ht="31.5" x14ac:dyDescent="0.25">
      <c r="A718" s="396" t="s">
        <v>272</v>
      </c>
      <c r="B718" s="390">
        <v>906</v>
      </c>
      <c r="C718" s="392" t="s">
        <v>264</v>
      </c>
      <c r="D718" s="392" t="s">
        <v>213</v>
      </c>
      <c r="E718" s="392" t="s">
        <v>1232</v>
      </c>
      <c r="F718" s="392" t="s">
        <v>273</v>
      </c>
      <c r="G718" s="397">
        <f>G719</f>
        <v>2386.6</v>
      </c>
      <c r="H718" s="397">
        <f t="shared" si="335"/>
        <v>1998.92</v>
      </c>
      <c r="I718" s="397">
        <f t="shared" si="334"/>
        <v>83.755970837174232</v>
      </c>
      <c r="J718" s="413"/>
      <c r="K718" s="401"/>
    </row>
    <row r="719" spans="1:13" s="192" customFormat="1" ht="15.75" x14ac:dyDescent="0.25">
      <c r="A719" s="396" t="s">
        <v>274</v>
      </c>
      <c r="B719" s="390">
        <v>906</v>
      </c>
      <c r="C719" s="392" t="s">
        <v>264</v>
      </c>
      <c r="D719" s="392" t="s">
        <v>213</v>
      </c>
      <c r="E719" s="392" t="s">
        <v>1232</v>
      </c>
      <c r="F719" s="392" t="s">
        <v>275</v>
      </c>
      <c r="G719" s="27">
        <f>2266.72-0.02+33.6+17.3+69</f>
        <v>2386.6</v>
      </c>
      <c r="H719" s="27">
        <v>1998.92</v>
      </c>
      <c r="I719" s="397">
        <f t="shared" si="334"/>
        <v>83.755970837174232</v>
      </c>
      <c r="J719" s="413"/>
      <c r="K719" s="401"/>
    </row>
    <row r="720" spans="1:13" s="192" customFormat="1" ht="47.25" x14ac:dyDescent="0.25">
      <c r="A720" s="31" t="s">
        <v>462</v>
      </c>
      <c r="B720" s="390">
        <v>906</v>
      </c>
      <c r="C720" s="392" t="s">
        <v>264</v>
      </c>
      <c r="D720" s="392" t="s">
        <v>213</v>
      </c>
      <c r="E720" s="392" t="s">
        <v>1249</v>
      </c>
      <c r="F720" s="392"/>
      <c r="G720" s="397">
        <f>G721</f>
        <v>900</v>
      </c>
      <c r="H720" s="397">
        <f t="shared" ref="H720:H721" si="336">H721</f>
        <v>762.00199999999995</v>
      </c>
      <c r="I720" s="397">
        <f t="shared" si="334"/>
        <v>84.666888888888877</v>
      </c>
      <c r="J720" s="413"/>
      <c r="K720" s="401"/>
    </row>
    <row r="721" spans="1:11" s="192" customFormat="1" ht="31.5" x14ac:dyDescent="0.25">
      <c r="A721" s="396" t="s">
        <v>272</v>
      </c>
      <c r="B721" s="390">
        <v>906</v>
      </c>
      <c r="C721" s="392" t="s">
        <v>264</v>
      </c>
      <c r="D721" s="392" t="s">
        <v>213</v>
      </c>
      <c r="E721" s="392" t="s">
        <v>1249</v>
      </c>
      <c r="F721" s="392" t="s">
        <v>273</v>
      </c>
      <c r="G721" s="397">
        <f>G722</f>
        <v>900</v>
      </c>
      <c r="H721" s="397">
        <f t="shared" si="336"/>
        <v>762.00199999999995</v>
      </c>
      <c r="I721" s="397">
        <f t="shared" si="334"/>
        <v>84.666888888888877</v>
      </c>
      <c r="J721" s="413"/>
      <c r="K721" s="401"/>
    </row>
    <row r="722" spans="1:11" s="192" customFormat="1" ht="15.75" x14ac:dyDescent="0.25">
      <c r="A722" s="396" t="s">
        <v>274</v>
      </c>
      <c r="B722" s="390">
        <v>906</v>
      </c>
      <c r="C722" s="392" t="s">
        <v>264</v>
      </c>
      <c r="D722" s="392" t="s">
        <v>213</v>
      </c>
      <c r="E722" s="392" t="s">
        <v>1249</v>
      </c>
      <c r="F722" s="392" t="s">
        <v>275</v>
      </c>
      <c r="G722" s="27">
        <v>900</v>
      </c>
      <c r="H722" s="27">
        <v>762.00199999999995</v>
      </c>
      <c r="I722" s="397">
        <f t="shared" si="334"/>
        <v>84.666888888888877</v>
      </c>
      <c r="J722" s="413"/>
      <c r="K722" s="401"/>
    </row>
    <row r="723" spans="1:11" s="192" customFormat="1" ht="35.450000000000003" customHeight="1" x14ac:dyDescent="0.25">
      <c r="A723" s="394" t="s">
        <v>1250</v>
      </c>
      <c r="B723" s="236">
        <v>906</v>
      </c>
      <c r="C723" s="395" t="s">
        <v>264</v>
      </c>
      <c r="D723" s="395" t="s">
        <v>213</v>
      </c>
      <c r="E723" s="395" t="s">
        <v>1235</v>
      </c>
      <c r="F723" s="395"/>
      <c r="G723" s="393">
        <f>G724+G727+G730+G733</f>
        <v>927.2</v>
      </c>
      <c r="H723" s="393">
        <f>H724+H727+H730+H733</f>
        <v>822.48200000000008</v>
      </c>
      <c r="I723" s="393">
        <f t="shared" si="334"/>
        <v>88.705996548748928</v>
      </c>
      <c r="J723" s="413"/>
      <c r="K723" s="401"/>
    </row>
    <row r="724" spans="1:11" s="192" customFormat="1" ht="35.450000000000003" hidden="1" customHeight="1" x14ac:dyDescent="0.25">
      <c r="A724" s="396" t="s">
        <v>440</v>
      </c>
      <c r="B724" s="37">
        <v>906</v>
      </c>
      <c r="C724" s="392" t="s">
        <v>264</v>
      </c>
      <c r="D724" s="392" t="s">
        <v>213</v>
      </c>
      <c r="E724" s="392" t="s">
        <v>1315</v>
      </c>
      <c r="F724" s="392"/>
      <c r="G724" s="397">
        <f>G725</f>
        <v>0</v>
      </c>
      <c r="H724" s="397">
        <f t="shared" ref="H724:H725" si="337">H725</f>
        <v>0</v>
      </c>
      <c r="I724" s="397" t="e">
        <f t="shared" si="334"/>
        <v>#DIV/0!</v>
      </c>
      <c r="J724" s="413"/>
      <c r="K724" s="401"/>
    </row>
    <row r="725" spans="1:11" s="192" customFormat="1" ht="39.75" hidden="1" customHeight="1" x14ac:dyDescent="0.25">
      <c r="A725" s="396" t="s">
        <v>272</v>
      </c>
      <c r="B725" s="37">
        <v>906</v>
      </c>
      <c r="C725" s="392" t="s">
        <v>264</v>
      </c>
      <c r="D725" s="392" t="s">
        <v>213</v>
      </c>
      <c r="E725" s="392" t="s">
        <v>1315</v>
      </c>
      <c r="F725" s="392" t="s">
        <v>273</v>
      </c>
      <c r="G725" s="397">
        <f>G726</f>
        <v>0</v>
      </c>
      <c r="H725" s="397">
        <f t="shared" si="337"/>
        <v>0</v>
      </c>
      <c r="I725" s="397" t="e">
        <f t="shared" si="334"/>
        <v>#DIV/0!</v>
      </c>
      <c r="J725" s="413"/>
      <c r="K725" s="401"/>
    </row>
    <row r="726" spans="1:11" s="192" customFormat="1" ht="18.75" hidden="1" customHeight="1" x14ac:dyDescent="0.25">
      <c r="A726" s="396" t="s">
        <v>274</v>
      </c>
      <c r="B726" s="37">
        <v>906</v>
      </c>
      <c r="C726" s="392" t="s">
        <v>264</v>
      </c>
      <c r="D726" s="392" t="s">
        <v>213</v>
      </c>
      <c r="E726" s="392" t="s">
        <v>1315</v>
      </c>
      <c r="F726" s="392" t="s">
        <v>275</v>
      </c>
      <c r="G726" s="397">
        <v>0</v>
      </c>
      <c r="H726" s="397">
        <v>0</v>
      </c>
      <c r="I726" s="397" t="e">
        <f t="shared" si="334"/>
        <v>#DIV/0!</v>
      </c>
      <c r="J726" s="413"/>
      <c r="K726" s="401"/>
    </row>
    <row r="727" spans="1:11" s="192" customFormat="1" ht="41.25" customHeight="1" x14ac:dyDescent="0.25">
      <c r="A727" s="396" t="s">
        <v>278</v>
      </c>
      <c r="B727" s="37">
        <v>906</v>
      </c>
      <c r="C727" s="392" t="s">
        <v>264</v>
      </c>
      <c r="D727" s="392" t="s">
        <v>213</v>
      </c>
      <c r="E727" s="392" t="s">
        <v>1316</v>
      </c>
      <c r="F727" s="392"/>
      <c r="G727" s="397">
        <f>G728</f>
        <v>300</v>
      </c>
      <c r="H727" s="397">
        <f t="shared" ref="H727:H728" si="338">H728</f>
        <v>300</v>
      </c>
      <c r="I727" s="397">
        <f t="shared" si="334"/>
        <v>100</v>
      </c>
      <c r="J727" s="413"/>
      <c r="K727" s="401"/>
    </row>
    <row r="728" spans="1:11" s="192" customFormat="1" ht="33" customHeight="1" x14ac:dyDescent="0.25">
      <c r="A728" s="396" t="s">
        <v>272</v>
      </c>
      <c r="B728" s="37">
        <v>906</v>
      </c>
      <c r="C728" s="392" t="s">
        <v>264</v>
      </c>
      <c r="D728" s="392" t="s">
        <v>213</v>
      </c>
      <c r="E728" s="392" t="s">
        <v>1316</v>
      </c>
      <c r="F728" s="392" t="s">
        <v>273</v>
      </c>
      <c r="G728" s="397">
        <f>G729</f>
        <v>300</v>
      </c>
      <c r="H728" s="397">
        <f t="shared" si="338"/>
        <v>300</v>
      </c>
      <c r="I728" s="397">
        <f t="shared" si="334"/>
        <v>100</v>
      </c>
      <c r="J728" s="413"/>
      <c r="K728" s="401"/>
    </row>
    <row r="729" spans="1:11" s="192" customFormat="1" ht="18.75" customHeight="1" x14ac:dyDescent="0.25">
      <c r="A729" s="396" t="s">
        <v>274</v>
      </c>
      <c r="B729" s="37">
        <v>906</v>
      </c>
      <c r="C729" s="392" t="s">
        <v>264</v>
      </c>
      <c r="D729" s="392" t="s">
        <v>213</v>
      </c>
      <c r="E729" s="392" t="s">
        <v>1316</v>
      </c>
      <c r="F729" s="392" t="s">
        <v>275</v>
      </c>
      <c r="G729" s="397">
        <f>300+55-50-5</f>
        <v>300</v>
      </c>
      <c r="H729" s="397">
        <v>300</v>
      </c>
      <c r="I729" s="397">
        <f t="shared" si="334"/>
        <v>100</v>
      </c>
      <c r="J729" s="413"/>
      <c r="K729" s="401"/>
    </row>
    <row r="730" spans="1:11" s="192" customFormat="1" ht="31.7" customHeight="1" x14ac:dyDescent="0.25">
      <c r="A730" s="396" t="s">
        <v>280</v>
      </c>
      <c r="B730" s="37">
        <v>906</v>
      </c>
      <c r="C730" s="392" t="s">
        <v>264</v>
      </c>
      <c r="D730" s="392" t="s">
        <v>213</v>
      </c>
      <c r="E730" s="392" t="s">
        <v>1317</v>
      </c>
      <c r="F730" s="392"/>
      <c r="G730" s="397">
        <f>G731</f>
        <v>394.4</v>
      </c>
      <c r="H730" s="397">
        <f t="shared" ref="H730:H731" si="339">H731</f>
        <v>394.38200000000001</v>
      </c>
      <c r="I730" s="397">
        <f t="shared" si="334"/>
        <v>99.995436105476671</v>
      </c>
      <c r="J730" s="413"/>
      <c r="K730" s="401"/>
    </row>
    <row r="731" spans="1:11" s="192" customFormat="1" ht="29.25" customHeight="1" x14ac:dyDescent="0.25">
      <c r="A731" s="396" t="s">
        <v>272</v>
      </c>
      <c r="B731" s="37">
        <v>906</v>
      </c>
      <c r="C731" s="392" t="s">
        <v>264</v>
      </c>
      <c r="D731" s="392" t="s">
        <v>213</v>
      </c>
      <c r="E731" s="392" t="s">
        <v>1317</v>
      </c>
      <c r="F731" s="392" t="s">
        <v>273</v>
      </c>
      <c r="G731" s="397">
        <f>G732</f>
        <v>394.4</v>
      </c>
      <c r="H731" s="397">
        <f t="shared" si="339"/>
        <v>394.38200000000001</v>
      </c>
      <c r="I731" s="397">
        <f t="shared" si="334"/>
        <v>99.995436105476671</v>
      </c>
      <c r="J731" s="413"/>
      <c r="K731" s="401"/>
    </row>
    <row r="732" spans="1:11" s="192" customFormat="1" ht="18.75" customHeight="1" x14ac:dyDescent="0.25">
      <c r="A732" s="396" t="s">
        <v>274</v>
      </c>
      <c r="B732" s="37">
        <v>906</v>
      </c>
      <c r="C732" s="392" t="s">
        <v>264</v>
      </c>
      <c r="D732" s="392" t="s">
        <v>213</v>
      </c>
      <c r="E732" s="392" t="s">
        <v>1317</v>
      </c>
      <c r="F732" s="392" t="s">
        <v>275</v>
      </c>
      <c r="G732" s="397">
        <f>120+289.4-15</f>
        <v>394.4</v>
      </c>
      <c r="H732" s="397">
        <v>394.38200000000001</v>
      </c>
      <c r="I732" s="397">
        <f t="shared" si="334"/>
        <v>99.995436105476671</v>
      </c>
      <c r="J732" s="413"/>
      <c r="K732" s="401"/>
    </row>
    <row r="733" spans="1:11" s="192" customFormat="1" ht="36" customHeight="1" x14ac:dyDescent="0.25">
      <c r="A733" s="396" t="s">
        <v>282</v>
      </c>
      <c r="B733" s="37">
        <v>906</v>
      </c>
      <c r="C733" s="392" t="s">
        <v>264</v>
      </c>
      <c r="D733" s="392" t="s">
        <v>213</v>
      </c>
      <c r="E733" s="392" t="s">
        <v>1251</v>
      </c>
      <c r="F733" s="392"/>
      <c r="G733" s="397">
        <f>G734</f>
        <v>232.8</v>
      </c>
      <c r="H733" s="397">
        <f t="shared" ref="H733:H734" si="340">H734</f>
        <v>128.1</v>
      </c>
      <c r="I733" s="397">
        <f t="shared" si="334"/>
        <v>55.025773195876283</v>
      </c>
      <c r="J733" s="413"/>
      <c r="K733" s="401"/>
    </row>
    <row r="734" spans="1:11" s="192" customFormat="1" ht="39.75" customHeight="1" x14ac:dyDescent="0.25">
      <c r="A734" s="396" t="s">
        <v>272</v>
      </c>
      <c r="B734" s="37">
        <v>906</v>
      </c>
      <c r="C734" s="392" t="s">
        <v>264</v>
      </c>
      <c r="D734" s="392" t="s">
        <v>213</v>
      </c>
      <c r="E734" s="392" t="s">
        <v>1251</v>
      </c>
      <c r="F734" s="392" t="s">
        <v>273</v>
      </c>
      <c r="G734" s="397">
        <f>G735</f>
        <v>232.8</v>
      </c>
      <c r="H734" s="397">
        <f t="shared" si="340"/>
        <v>128.1</v>
      </c>
      <c r="I734" s="397">
        <f t="shared" si="334"/>
        <v>55.025773195876283</v>
      </c>
      <c r="J734" s="413"/>
      <c r="K734" s="401"/>
    </row>
    <row r="735" spans="1:11" s="192" customFormat="1" ht="18.75" customHeight="1" x14ac:dyDescent="0.25">
      <c r="A735" s="396" t="s">
        <v>274</v>
      </c>
      <c r="B735" s="37">
        <v>906</v>
      </c>
      <c r="C735" s="392" t="s">
        <v>264</v>
      </c>
      <c r="D735" s="392" t="s">
        <v>213</v>
      </c>
      <c r="E735" s="392" t="s">
        <v>1251</v>
      </c>
      <c r="F735" s="392" t="s">
        <v>275</v>
      </c>
      <c r="G735" s="397">
        <f>127-72+72+97.2-0.2+8.8</f>
        <v>232.8</v>
      </c>
      <c r="H735" s="397">
        <v>128.1</v>
      </c>
      <c r="I735" s="397">
        <f t="shared" si="334"/>
        <v>55.025773195876283</v>
      </c>
      <c r="J735" s="413"/>
      <c r="K735" s="401"/>
    </row>
    <row r="736" spans="1:11" s="192" customFormat="1" ht="34.5" customHeight="1" x14ac:dyDescent="0.25">
      <c r="A736" s="203" t="s">
        <v>947</v>
      </c>
      <c r="B736" s="391">
        <v>906</v>
      </c>
      <c r="C736" s="395" t="s">
        <v>264</v>
      </c>
      <c r="D736" s="395" t="s">
        <v>213</v>
      </c>
      <c r="E736" s="395" t="s">
        <v>1238</v>
      </c>
      <c r="F736" s="395"/>
      <c r="G736" s="44">
        <f>G737+G740</f>
        <v>3082.18</v>
      </c>
      <c r="H736" s="44">
        <f t="shared" ref="H736" si="341">H737+H740</f>
        <v>3023.3580000000002</v>
      </c>
      <c r="I736" s="393">
        <f t="shared" si="334"/>
        <v>98.091545594352056</v>
      </c>
      <c r="J736" s="413"/>
      <c r="K736" s="401"/>
    </row>
    <row r="737" spans="1:12" s="192" customFormat="1" ht="36.75" customHeight="1" x14ac:dyDescent="0.25">
      <c r="A737" s="396" t="s">
        <v>791</v>
      </c>
      <c r="B737" s="390">
        <v>906</v>
      </c>
      <c r="C737" s="392" t="s">
        <v>264</v>
      </c>
      <c r="D737" s="392" t="s">
        <v>213</v>
      </c>
      <c r="E737" s="392" t="s">
        <v>1256</v>
      </c>
      <c r="F737" s="392"/>
      <c r="G737" s="397">
        <f>G738</f>
        <v>44</v>
      </c>
      <c r="H737" s="397">
        <f t="shared" ref="H737:H738" si="342">H738</f>
        <v>44</v>
      </c>
      <c r="I737" s="397">
        <f t="shared" si="334"/>
        <v>100</v>
      </c>
      <c r="J737" s="413"/>
      <c r="K737" s="401"/>
    </row>
    <row r="738" spans="1:12" s="192" customFormat="1" ht="44.45" customHeight="1" x14ac:dyDescent="0.25">
      <c r="A738" s="396" t="s">
        <v>272</v>
      </c>
      <c r="B738" s="390">
        <v>906</v>
      </c>
      <c r="C738" s="392" t="s">
        <v>264</v>
      </c>
      <c r="D738" s="392" t="s">
        <v>213</v>
      </c>
      <c r="E738" s="392" t="s">
        <v>1256</v>
      </c>
      <c r="F738" s="392" t="s">
        <v>273</v>
      </c>
      <c r="G738" s="397">
        <f>G739</f>
        <v>44</v>
      </c>
      <c r="H738" s="397">
        <f t="shared" si="342"/>
        <v>44</v>
      </c>
      <c r="I738" s="397">
        <f t="shared" si="334"/>
        <v>100</v>
      </c>
      <c r="J738" s="413"/>
      <c r="K738" s="401"/>
    </row>
    <row r="739" spans="1:12" s="192" customFormat="1" ht="18.75" customHeight="1" x14ac:dyDescent="0.25">
      <c r="A739" s="396" t="s">
        <v>274</v>
      </c>
      <c r="B739" s="390">
        <v>906</v>
      </c>
      <c r="C739" s="392" t="s">
        <v>264</v>
      </c>
      <c r="D739" s="392" t="s">
        <v>213</v>
      </c>
      <c r="E739" s="392" t="s">
        <v>1256</v>
      </c>
      <c r="F739" s="392" t="s">
        <v>275</v>
      </c>
      <c r="G739" s="397">
        <v>44</v>
      </c>
      <c r="H739" s="397">
        <v>44</v>
      </c>
      <c r="I739" s="397">
        <f t="shared" si="334"/>
        <v>100</v>
      </c>
      <c r="J739" s="413"/>
      <c r="K739" s="401"/>
    </row>
    <row r="740" spans="1:12" s="192" customFormat="1" ht="38.25" customHeight="1" x14ac:dyDescent="0.25">
      <c r="A740" s="60" t="s">
        <v>764</v>
      </c>
      <c r="B740" s="390">
        <v>906</v>
      </c>
      <c r="C740" s="392" t="s">
        <v>264</v>
      </c>
      <c r="D740" s="392" t="s">
        <v>213</v>
      </c>
      <c r="E740" s="392" t="s">
        <v>1239</v>
      </c>
      <c r="F740" s="392"/>
      <c r="G740" s="397">
        <f>G741</f>
        <v>3038.18</v>
      </c>
      <c r="H740" s="397">
        <f t="shared" ref="H740:H741" si="343">H741</f>
        <v>2979.3580000000002</v>
      </c>
      <c r="I740" s="397">
        <f t="shared" si="334"/>
        <v>98.063906680973489</v>
      </c>
      <c r="J740" s="413"/>
      <c r="K740" s="401"/>
    </row>
    <row r="741" spans="1:12" s="192" customFormat="1" ht="39.200000000000003" customHeight="1" x14ac:dyDescent="0.25">
      <c r="A741" s="29" t="s">
        <v>272</v>
      </c>
      <c r="B741" s="390">
        <v>906</v>
      </c>
      <c r="C741" s="392" t="s">
        <v>264</v>
      </c>
      <c r="D741" s="392" t="s">
        <v>213</v>
      </c>
      <c r="E741" s="392" t="s">
        <v>1239</v>
      </c>
      <c r="F741" s="392" t="s">
        <v>273</v>
      </c>
      <c r="G741" s="397">
        <f>G742</f>
        <v>3038.18</v>
      </c>
      <c r="H741" s="397">
        <f t="shared" si="343"/>
        <v>2979.3580000000002</v>
      </c>
      <c r="I741" s="397">
        <f t="shared" si="334"/>
        <v>98.063906680973489</v>
      </c>
      <c r="J741" s="413"/>
      <c r="K741" s="401"/>
    </row>
    <row r="742" spans="1:12" s="192" customFormat="1" ht="18.75" customHeight="1" x14ac:dyDescent="0.25">
      <c r="A742" s="180" t="s">
        <v>274</v>
      </c>
      <c r="B742" s="390">
        <v>906</v>
      </c>
      <c r="C742" s="392" t="s">
        <v>264</v>
      </c>
      <c r="D742" s="392" t="s">
        <v>213</v>
      </c>
      <c r="E742" s="392" t="s">
        <v>1239</v>
      </c>
      <c r="F742" s="392" t="s">
        <v>275</v>
      </c>
      <c r="G742" s="397">
        <f>2888-188+50+288.18</f>
        <v>3038.18</v>
      </c>
      <c r="H742" s="397">
        <v>2979.3580000000002</v>
      </c>
      <c r="I742" s="397">
        <f t="shared" si="334"/>
        <v>98.063906680973489</v>
      </c>
      <c r="J742" s="413"/>
      <c r="K742" s="401"/>
    </row>
    <row r="743" spans="1:12" s="192" customFormat="1" ht="33" customHeight="1" x14ac:dyDescent="0.25">
      <c r="A743" s="394" t="s">
        <v>937</v>
      </c>
      <c r="B743" s="236">
        <v>906</v>
      </c>
      <c r="C743" s="395" t="s">
        <v>264</v>
      </c>
      <c r="D743" s="395" t="s">
        <v>213</v>
      </c>
      <c r="E743" s="395" t="s">
        <v>1252</v>
      </c>
      <c r="F743" s="395"/>
      <c r="G743" s="393">
        <f>G744</f>
        <v>3001.8</v>
      </c>
      <c r="H743" s="393">
        <f t="shared" ref="H743:H745" si="344">H744</f>
        <v>2597.4380000000001</v>
      </c>
      <c r="I743" s="393">
        <f t="shared" si="334"/>
        <v>86.529349057232324</v>
      </c>
      <c r="J743" s="413"/>
      <c r="K743" s="401"/>
    </row>
    <row r="744" spans="1:12" ht="49.7" customHeight="1" x14ac:dyDescent="0.25">
      <c r="A744" s="29" t="s">
        <v>602</v>
      </c>
      <c r="B744" s="37">
        <v>906</v>
      </c>
      <c r="C744" s="392" t="s">
        <v>264</v>
      </c>
      <c r="D744" s="392" t="s">
        <v>213</v>
      </c>
      <c r="E744" s="392" t="s">
        <v>1253</v>
      </c>
      <c r="F744" s="392"/>
      <c r="G744" s="397">
        <f>G745</f>
        <v>3001.8</v>
      </c>
      <c r="H744" s="397">
        <f t="shared" si="344"/>
        <v>2597.4380000000001</v>
      </c>
      <c r="I744" s="397">
        <f t="shared" si="334"/>
        <v>86.529349057232324</v>
      </c>
      <c r="J744" s="413"/>
      <c r="K744" s="401"/>
      <c r="L744" s="192"/>
    </row>
    <row r="745" spans="1:12" ht="31.5" x14ac:dyDescent="0.25">
      <c r="A745" s="396" t="s">
        <v>272</v>
      </c>
      <c r="B745" s="37">
        <v>906</v>
      </c>
      <c r="C745" s="392" t="s">
        <v>264</v>
      </c>
      <c r="D745" s="392" t="s">
        <v>213</v>
      </c>
      <c r="E745" s="392" t="s">
        <v>1253</v>
      </c>
      <c r="F745" s="392" t="s">
        <v>273</v>
      </c>
      <c r="G745" s="397">
        <f>G746</f>
        <v>3001.8</v>
      </c>
      <c r="H745" s="397">
        <f t="shared" si="344"/>
        <v>2597.4380000000001</v>
      </c>
      <c r="I745" s="397">
        <f t="shared" si="334"/>
        <v>86.529349057232324</v>
      </c>
      <c r="J745" s="413"/>
      <c r="K745" s="401"/>
      <c r="L745" s="192"/>
    </row>
    <row r="746" spans="1:12" ht="15.75" x14ac:dyDescent="0.25">
      <c r="A746" s="396" t="s">
        <v>274</v>
      </c>
      <c r="B746" s="37">
        <v>906</v>
      </c>
      <c r="C746" s="392" t="s">
        <v>264</v>
      </c>
      <c r="D746" s="392" t="s">
        <v>213</v>
      </c>
      <c r="E746" s="392" t="s">
        <v>1253</v>
      </c>
      <c r="F746" s="392" t="s">
        <v>275</v>
      </c>
      <c r="G746" s="27">
        <f>2200-200+1731.8-730</f>
        <v>3001.8</v>
      </c>
      <c r="H746" s="27">
        <v>2597.4380000000001</v>
      </c>
      <c r="I746" s="397">
        <f t="shared" si="334"/>
        <v>86.529349057232324</v>
      </c>
      <c r="J746" s="413"/>
      <c r="K746" s="401"/>
      <c r="L746" s="192"/>
    </row>
    <row r="747" spans="1:12" s="192" customFormat="1" ht="34.5" customHeight="1" x14ac:dyDescent="0.25">
      <c r="A747" s="394" t="s">
        <v>938</v>
      </c>
      <c r="B747" s="236">
        <v>906</v>
      </c>
      <c r="C747" s="395" t="s">
        <v>264</v>
      </c>
      <c r="D747" s="395" t="s">
        <v>213</v>
      </c>
      <c r="E747" s="395" t="s">
        <v>1254</v>
      </c>
      <c r="F747" s="395"/>
      <c r="G747" s="44">
        <f>G748</f>
        <v>1384.6</v>
      </c>
      <c r="H747" s="44">
        <f t="shared" ref="H747:H749" si="345">H748</f>
        <v>1286.415</v>
      </c>
      <c r="I747" s="393">
        <f t="shared" si="334"/>
        <v>92.908782319803564</v>
      </c>
      <c r="J747" s="413"/>
      <c r="K747" s="401"/>
    </row>
    <row r="748" spans="1:12" ht="47.25" x14ac:dyDescent="0.25">
      <c r="A748" s="396" t="s">
        <v>438</v>
      </c>
      <c r="B748" s="37">
        <v>906</v>
      </c>
      <c r="C748" s="392" t="s">
        <v>264</v>
      </c>
      <c r="D748" s="392" t="s">
        <v>213</v>
      </c>
      <c r="E748" s="392" t="s">
        <v>1255</v>
      </c>
      <c r="F748" s="392"/>
      <c r="G748" s="397">
        <f>G749</f>
        <v>1384.6</v>
      </c>
      <c r="H748" s="397">
        <f t="shared" si="345"/>
        <v>1286.415</v>
      </c>
      <c r="I748" s="397">
        <f t="shared" si="334"/>
        <v>92.908782319803564</v>
      </c>
      <c r="J748" s="413"/>
      <c r="K748" s="401"/>
      <c r="L748" s="192"/>
    </row>
    <row r="749" spans="1:12" ht="31.5" x14ac:dyDescent="0.25">
      <c r="A749" s="396" t="s">
        <v>272</v>
      </c>
      <c r="B749" s="37">
        <v>906</v>
      </c>
      <c r="C749" s="392" t="s">
        <v>264</v>
      </c>
      <c r="D749" s="392" t="s">
        <v>213</v>
      </c>
      <c r="E749" s="392" t="s">
        <v>1255</v>
      </c>
      <c r="F749" s="392" t="s">
        <v>273</v>
      </c>
      <c r="G749" s="397">
        <f>G750</f>
        <v>1384.6</v>
      </c>
      <c r="H749" s="397">
        <f t="shared" si="345"/>
        <v>1286.415</v>
      </c>
      <c r="I749" s="397">
        <f t="shared" si="334"/>
        <v>92.908782319803564</v>
      </c>
      <c r="J749" s="413"/>
      <c r="K749" s="401"/>
      <c r="L749" s="192"/>
    </row>
    <row r="750" spans="1:12" ht="15.75" x14ac:dyDescent="0.25">
      <c r="A750" s="396" t="s">
        <v>274</v>
      </c>
      <c r="B750" s="37">
        <v>906</v>
      </c>
      <c r="C750" s="392" t="s">
        <v>264</v>
      </c>
      <c r="D750" s="392" t="s">
        <v>213</v>
      </c>
      <c r="E750" s="392" t="s">
        <v>1255</v>
      </c>
      <c r="F750" s="392" t="s">
        <v>275</v>
      </c>
      <c r="G750" s="397">
        <f>868+516.6</f>
        <v>1384.6</v>
      </c>
      <c r="H750" s="397">
        <v>1286.415</v>
      </c>
      <c r="I750" s="397">
        <f t="shared" si="334"/>
        <v>92.908782319803564</v>
      </c>
      <c r="J750" s="413"/>
      <c r="K750" s="401"/>
      <c r="L750" s="192"/>
    </row>
    <row r="751" spans="1:12" s="192" customFormat="1" ht="31.5" x14ac:dyDescent="0.25">
      <c r="A751" s="201" t="s">
        <v>939</v>
      </c>
      <c r="B751" s="391">
        <v>906</v>
      </c>
      <c r="C751" s="395" t="s">
        <v>264</v>
      </c>
      <c r="D751" s="395" t="s">
        <v>213</v>
      </c>
      <c r="E751" s="395" t="s">
        <v>1257</v>
      </c>
      <c r="F751" s="395"/>
      <c r="G751" s="393">
        <f>G752</f>
        <v>752.9</v>
      </c>
      <c r="H751" s="393">
        <f t="shared" ref="H751:H753" si="346">H752</f>
        <v>333.27</v>
      </c>
      <c r="I751" s="393">
        <f t="shared" si="334"/>
        <v>44.26484260858016</v>
      </c>
      <c r="J751" s="413"/>
      <c r="K751" s="401"/>
    </row>
    <row r="752" spans="1:12" s="192" customFormat="1" ht="47.25" x14ac:dyDescent="0.25">
      <c r="A752" s="180" t="s">
        <v>827</v>
      </c>
      <c r="B752" s="390">
        <v>906</v>
      </c>
      <c r="C752" s="392" t="s">
        <v>264</v>
      </c>
      <c r="D752" s="392" t="s">
        <v>213</v>
      </c>
      <c r="E752" s="392" t="s">
        <v>1422</v>
      </c>
      <c r="F752" s="392"/>
      <c r="G752" s="397">
        <f>G753</f>
        <v>752.9</v>
      </c>
      <c r="H752" s="397">
        <f t="shared" si="346"/>
        <v>333.27</v>
      </c>
      <c r="I752" s="397">
        <f t="shared" si="334"/>
        <v>44.26484260858016</v>
      </c>
      <c r="J752" s="413"/>
      <c r="K752" s="401"/>
    </row>
    <row r="753" spans="1:11" s="192" customFormat="1" ht="31.5" x14ac:dyDescent="0.25">
      <c r="A753" s="31" t="s">
        <v>272</v>
      </c>
      <c r="B753" s="390">
        <v>906</v>
      </c>
      <c r="C753" s="392" t="s">
        <v>264</v>
      </c>
      <c r="D753" s="392" t="s">
        <v>213</v>
      </c>
      <c r="E753" s="392" t="s">
        <v>1422</v>
      </c>
      <c r="F753" s="392" t="s">
        <v>273</v>
      </c>
      <c r="G753" s="397">
        <f>G754</f>
        <v>752.9</v>
      </c>
      <c r="H753" s="397">
        <f t="shared" si="346"/>
        <v>333.27</v>
      </c>
      <c r="I753" s="397">
        <f t="shared" si="334"/>
        <v>44.26484260858016</v>
      </c>
      <c r="J753" s="413"/>
      <c r="K753" s="401"/>
    </row>
    <row r="754" spans="1:11" s="192" customFormat="1" ht="15.75" x14ac:dyDescent="0.25">
      <c r="A754" s="31" t="s">
        <v>274</v>
      </c>
      <c r="B754" s="390">
        <v>906</v>
      </c>
      <c r="C754" s="392" t="s">
        <v>264</v>
      </c>
      <c r="D754" s="392" t="s">
        <v>213</v>
      </c>
      <c r="E754" s="392" t="s">
        <v>1422</v>
      </c>
      <c r="F754" s="392" t="s">
        <v>275</v>
      </c>
      <c r="G754" s="397">
        <f>678+74.9</f>
        <v>752.9</v>
      </c>
      <c r="H754" s="397">
        <v>333.27</v>
      </c>
      <c r="I754" s="397">
        <f t="shared" si="334"/>
        <v>44.26484260858016</v>
      </c>
      <c r="J754" s="413"/>
      <c r="K754" s="401"/>
    </row>
    <row r="755" spans="1:11" s="192" customFormat="1" ht="31.5" x14ac:dyDescent="0.25">
      <c r="A755" s="268" t="s">
        <v>1404</v>
      </c>
      <c r="B755" s="391">
        <v>906</v>
      </c>
      <c r="C755" s="395" t="s">
        <v>264</v>
      </c>
      <c r="D755" s="395" t="s">
        <v>213</v>
      </c>
      <c r="E755" s="395" t="s">
        <v>1403</v>
      </c>
      <c r="F755" s="395"/>
      <c r="G755" s="393">
        <f>G756</f>
        <v>5296.5999999999995</v>
      </c>
      <c r="H755" s="393">
        <f t="shared" ref="H755:H757" si="347">H756</f>
        <v>5296.5439999999999</v>
      </c>
      <c r="I755" s="393">
        <f t="shared" si="334"/>
        <v>99.998942717970024</v>
      </c>
      <c r="J755" s="413"/>
      <c r="K755" s="401"/>
    </row>
    <row r="756" spans="1:11" s="192" customFormat="1" ht="63" x14ac:dyDescent="0.25">
      <c r="A756" s="267" t="s">
        <v>1390</v>
      </c>
      <c r="B756" s="390">
        <v>906</v>
      </c>
      <c r="C756" s="392" t="s">
        <v>264</v>
      </c>
      <c r="D756" s="392" t="s">
        <v>213</v>
      </c>
      <c r="E756" s="392" t="s">
        <v>1442</v>
      </c>
      <c r="F756" s="392"/>
      <c r="G756" s="397">
        <f>G757</f>
        <v>5296.5999999999995</v>
      </c>
      <c r="H756" s="397">
        <f t="shared" si="347"/>
        <v>5296.5439999999999</v>
      </c>
      <c r="I756" s="397">
        <f t="shared" si="334"/>
        <v>99.998942717970024</v>
      </c>
      <c r="J756" s="413"/>
      <c r="K756" s="401"/>
    </row>
    <row r="757" spans="1:11" s="192" customFormat="1" ht="31.5" x14ac:dyDescent="0.25">
      <c r="A757" s="31" t="s">
        <v>272</v>
      </c>
      <c r="B757" s="390">
        <v>906</v>
      </c>
      <c r="C757" s="392" t="s">
        <v>264</v>
      </c>
      <c r="D757" s="392" t="s">
        <v>213</v>
      </c>
      <c r="E757" s="392" t="s">
        <v>1442</v>
      </c>
      <c r="F757" s="392" t="s">
        <v>273</v>
      </c>
      <c r="G757" s="397">
        <f>G758</f>
        <v>5296.5999999999995</v>
      </c>
      <c r="H757" s="397">
        <f t="shared" si="347"/>
        <v>5296.5439999999999</v>
      </c>
      <c r="I757" s="397">
        <f t="shared" si="334"/>
        <v>99.998942717970024</v>
      </c>
      <c r="J757" s="413"/>
      <c r="K757" s="401"/>
    </row>
    <row r="758" spans="1:11" s="192" customFormat="1" ht="15.75" x14ac:dyDescent="0.25">
      <c r="A758" s="31" t="s">
        <v>274</v>
      </c>
      <c r="B758" s="390">
        <v>906</v>
      </c>
      <c r="C758" s="392" t="s">
        <v>264</v>
      </c>
      <c r="D758" s="392" t="s">
        <v>213</v>
      </c>
      <c r="E758" s="392" t="s">
        <v>1442</v>
      </c>
      <c r="F758" s="392" t="s">
        <v>275</v>
      </c>
      <c r="G758" s="397">
        <f>5079.4+217.2</f>
        <v>5296.5999999999995</v>
      </c>
      <c r="H758" s="480">
        <v>5296.5439999999999</v>
      </c>
      <c r="I758" s="397">
        <f t="shared" si="334"/>
        <v>99.998942717970024</v>
      </c>
      <c r="J758" s="413"/>
      <c r="K758" s="401"/>
    </row>
    <row r="759" spans="1:11" s="192" customFormat="1" ht="31.5" hidden="1" x14ac:dyDescent="0.25">
      <c r="A759" s="268" t="s">
        <v>1426</v>
      </c>
      <c r="B759" s="391">
        <v>906</v>
      </c>
      <c r="C759" s="395" t="s">
        <v>264</v>
      </c>
      <c r="D759" s="395" t="s">
        <v>213</v>
      </c>
      <c r="E759" s="395" t="s">
        <v>1414</v>
      </c>
      <c r="F759" s="395"/>
      <c r="G759" s="393">
        <f>G760</f>
        <v>0</v>
      </c>
      <c r="H759" s="393">
        <f t="shared" ref="H759:H761" si="348">H760</f>
        <v>0</v>
      </c>
      <c r="I759" s="397" t="e">
        <f t="shared" si="334"/>
        <v>#DIV/0!</v>
      </c>
      <c r="J759" s="413"/>
      <c r="K759" s="401"/>
    </row>
    <row r="760" spans="1:11" s="192" customFormat="1" ht="15.75" hidden="1" x14ac:dyDescent="0.25">
      <c r="A760" s="267" t="s">
        <v>1415</v>
      </c>
      <c r="B760" s="390">
        <v>906</v>
      </c>
      <c r="C760" s="392" t="s">
        <v>264</v>
      </c>
      <c r="D760" s="392" t="s">
        <v>213</v>
      </c>
      <c r="E760" s="392" t="s">
        <v>1416</v>
      </c>
      <c r="F760" s="392"/>
      <c r="G760" s="397">
        <f>G761</f>
        <v>0</v>
      </c>
      <c r="H760" s="397">
        <f t="shared" si="348"/>
        <v>0</v>
      </c>
      <c r="I760" s="397" t="e">
        <f t="shared" si="334"/>
        <v>#DIV/0!</v>
      </c>
      <c r="J760" s="413"/>
      <c r="K760" s="401"/>
    </row>
    <row r="761" spans="1:11" s="192" customFormat="1" ht="31.5" hidden="1" x14ac:dyDescent="0.25">
      <c r="A761" s="31" t="s">
        <v>272</v>
      </c>
      <c r="B761" s="390">
        <v>906</v>
      </c>
      <c r="C761" s="392" t="s">
        <v>264</v>
      </c>
      <c r="D761" s="392" t="s">
        <v>213</v>
      </c>
      <c r="E761" s="392" t="s">
        <v>1416</v>
      </c>
      <c r="F761" s="392" t="s">
        <v>273</v>
      </c>
      <c r="G761" s="397">
        <f>G762</f>
        <v>0</v>
      </c>
      <c r="H761" s="397">
        <f t="shared" si="348"/>
        <v>0</v>
      </c>
      <c r="I761" s="397" t="e">
        <f t="shared" si="334"/>
        <v>#DIV/0!</v>
      </c>
      <c r="J761" s="413"/>
      <c r="K761" s="401"/>
    </row>
    <row r="762" spans="1:11" s="192" customFormat="1" ht="15.75" hidden="1" x14ac:dyDescent="0.25">
      <c r="A762" s="31" t="s">
        <v>274</v>
      </c>
      <c r="B762" s="390">
        <v>906</v>
      </c>
      <c r="C762" s="392" t="s">
        <v>264</v>
      </c>
      <c r="D762" s="392" t="s">
        <v>213</v>
      </c>
      <c r="E762" s="392" t="s">
        <v>1416</v>
      </c>
      <c r="F762" s="392" t="s">
        <v>275</v>
      </c>
      <c r="G762" s="397">
        <f>84+1630-1630-84</f>
        <v>0</v>
      </c>
      <c r="H762" s="397">
        <f t="shared" ref="H762" si="349">84+1630-1630-84</f>
        <v>0</v>
      </c>
      <c r="I762" s="397" t="e">
        <f t="shared" si="334"/>
        <v>#DIV/0!</v>
      </c>
      <c r="J762" s="413"/>
      <c r="K762" s="401"/>
    </row>
    <row r="763" spans="1:11" s="192" customFormat="1" ht="31.5" x14ac:dyDescent="0.25">
      <c r="A763" s="268" t="s">
        <v>1543</v>
      </c>
      <c r="B763" s="391">
        <v>906</v>
      </c>
      <c r="C763" s="395" t="s">
        <v>264</v>
      </c>
      <c r="D763" s="395" t="s">
        <v>213</v>
      </c>
      <c r="E763" s="395" t="s">
        <v>1544</v>
      </c>
      <c r="F763" s="395"/>
      <c r="G763" s="393">
        <f>G764</f>
        <v>2864.7570000000001</v>
      </c>
      <c r="H763" s="393">
        <f t="shared" ref="H763:H765" si="350">H764</f>
        <v>2864.7559999999999</v>
      </c>
      <c r="I763" s="393">
        <f t="shared" si="334"/>
        <v>99.999965093025338</v>
      </c>
      <c r="J763" s="413"/>
      <c r="K763" s="401"/>
    </row>
    <row r="764" spans="1:11" s="193" customFormat="1" ht="31.5" x14ac:dyDescent="0.25">
      <c r="A764" s="267" t="s">
        <v>450</v>
      </c>
      <c r="B764" s="390">
        <v>906</v>
      </c>
      <c r="C764" s="392" t="s">
        <v>264</v>
      </c>
      <c r="D764" s="392" t="s">
        <v>213</v>
      </c>
      <c r="E764" s="392" t="s">
        <v>1545</v>
      </c>
      <c r="F764" s="392"/>
      <c r="G764" s="397">
        <f>G765</f>
        <v>2864.7570000000001</v>
      </c>
      <c r="H764" s="397">
        <f t="shared" si="350"/>
        <v>2864.7559999999999</v>
      </c>
      <c r="I764" s="397">
        <f t="shared" si="334"/>
        <v>99.999965093025338</v>
      </c>
      <c r="J764" s="416"/>
      <c r="K764" s="127"/>
    </row>
    <row r="765" spans="1:11" s="192" customFormat="1" ht="31.5" x14ac:dyDescent="0.25">
      <c r="A765" s="31" t="s">
        <v>272</v>
      </c>
      <c r="B765" s="390">
        <v>906</v>
      </c>
      <c r="C765" s="392" t="s">
        <v>264</v>
      </c>
      <c r="D765" s="392" t="s">
        <v>213</v>
      </c>
      <c r="E765" s="392" t="s">
        <v>1545</v>
      </c>
      <c r="F765" s="392" t="s">
        <v>273</v>
      </c>
      <c r="G765" s="397">
        <f>G766</f>
        <v>2864.7570000000001</v>
      </c>
      <c r="H765" s="397">
        <f t="shared" si="350"/>
        <v>2864.7559999999999</v>
      </c>
      <c r="I765" s="397">
        <f t="shared" si="334"/>
        <v>99.999965093025338</v>
      </c>
      <c r="J765" s="413"/>
      <c r="K765" s="401"/>
    </row>
    <row r="766" spans="1:11" s="192" customFormat="1" ht="15.75" x14ac:dyDescent="0.25">
      <c r="A766" s="31" t="s">
        <v>274</v>
      </c>
      <c r="B766" s="390">
        <v>906</v>
      </c>
      <c r="C766" s="392" t="s">
        <v>264</v>
      </c>
      <c r="D766" s="392" t="s">
        <v>213</v>
      </c>
      <c r="E766" s="392" t="s">
        <v>1545</v>
      </c>
      <c r="F766" s="392" t="s">
        <v>275</v>
      </c>
      <c r="G766" s="397">
        <f>3304.3-439.543</f>
        <v>2864.7570000000001</v>
      </c>
      <c r="H766" s="397">
        <v>2864.7559999999999</v>
      </c>
      <c r="I766" s="397">
        <f t="shared" si="334"/>
        <v>99.999965093025338</v>
      </c>
      <c r="J766" s="418"/>
      <c r="K766" s="401"/>
    </row>
    <row r="767" spans="1:11" s="192" customFormat="1" ht="34.5" customHeight="1" x14ac:dyDescent="0.25">
      <c r="A767" s="268" t="s">
        <v>1554</v>
      </c>
      <c r="B767" s="391">
        <v>906</v>
      </c>
      <c r="C767" s="395" t="s">
        <v>264</v>
      </c>
      <c r="D767" s="395" t="s">
        <v>213</v>
      </c>
      <c r="E767" s="395" t="s">
        <v>1556</v>
      </c>
      <c r="F767" s="395"/>
      <c r="G767" s="393">
        <f>G768</f>
        <v>288.29200000000003</v>
      </c>
      <c r="H767" s="393">
        <f t="shared" ref="H767:H769" si="351">H768</f>
        <v>288.25200000000001</v>
      </c>
      <c r="I767" s="393">
        <f t="shared" si="334"/>
        <v>99.986125178638318</v>
      </c>
      <c r="J767" s="419"/>
      <c r="K767" s="401"/>
    </row>
    <row r="768" spans="1:11" s="192" customFormat="1" ht="31.5" x14ac:dyDescent="0.25">
      <c r="A768" s="267" t="s">
        <v>1555</v>
      </c>
      <c r="B768" s="390">
        <v>906</v>
      </c>
      <c r="C768" s="392" t="s">
        <v>264</v>
      </c>
      <c r="D768" s="392" t="s">
        <v>213</v>
      </c>
      <c r="E768" s="392" t="s">
        <v>1557</v>
      </c>
      <c r="F768" s="392"/>
      <c r="G768" s="397">
        <f>G769</f>
        <v>288.29200000000003</v>
      </c>
      <c r="H768" s="397">
        <f t="shared" si="351"/>
        <v>288.25200000000001</v>
      </c>
      <c r="I768" s="397">
        <f t="shared" si="334"/>
        <v>99.986125178638318</v>
      </c>
      <c r="J768" s="413"/>
      <c r="K768" s="401"/>
    </row>
    <row r="769" spans="1:14" s="192" customFormat="1" ht="31.5" x14ac:dyDescent="0.25">
      <c r="A769" s="31" t="s">
        <v>272</v>
      </c>
      <c r="B769" s="390">
        <v>906</v>
      </c>
      <c r="C769" s="392" t="s">
        <v>264</v>
      </c>
      <c r="D769" s="392" t="s">
        <v>213</v>
      </c>
      <c r="E769" s="392" t="s">
        <v>1557</v>
      </c>
      <c r="F769" s="392" t="s">
        <v>273</v>
      </c>
      <c r="G769" s="397">
        <f>G770</f>
        <v>288.29200000000003</v>
      </c>
      <c r="H769" s="397">
        <f t="shared" si="351"/>
        <v>288.25200000000001</v>
      </c>
      <c r="I769" s="397">
        <f t="shared" si="334"/>
        <v>99.986125178638318</v>
      </c>
      <c r="J769" s="420"/>
      <c r="K769" s="401"/>
    </row>
    <row r="770" spans="1:14" s="192" customFormat="1" ht="15.75" x14ac:dyDescent="0.25">
      <c r="A770" s="31" t="s">
        <v>274</v>
      </c>
      <c r="B770" s="390">
        <v>906</v>
      </c>
      <c r="C770" s="392" t="s">
        <v>264</v>
      </c>
      <c r="D770" s="392" t="s">
        <v>213</v>
      </c>
      <c r="E770" s="392" t="s">
        <v>1557</v>
      </c>
      <c r="F770" s="392" t="s">
        <v>275</v>
      </c>
      <c r="G770" s="397">
        <f>285+12.185-8.893</f>
        <v>288.29200000000003</v>
      </c>
      <c r="H770" s="397">
        <v>288.25200000000001</v>
      </c>
      <c r="I770" s="397">
        <f t="shared" si="334"/>
        <v>99.986125178638318</v>
      </c>
      <c r="J770" s="413"/>
      <c r="K770" s="410"/>
      <c r="L770" s="410"/>
      <c r="M770" s="404"/>
      <c r="N770" s="405"/>
    </row>
    <row r="771" spans="1:14" s="192" customFormat="1" ht="36" customHeight="1" x14ac:dyDescent="0.25">
      <c r="A771" s="201" t="s">
        <v>1170</v>
      </c>
      <c r="B771" s="391">
        <v>906</v>
      </c>
      <c r="C771" s="395" t="s">
        <v>264</v>
      </c>
      <c r="D771" s="395" t="s">
        <v>213</v>
      </c>
      <c r="E771" s="395" t="s">
        <v>1318</v>
      </c>
      <c r="F771" s="395"/>
      <c r="G771" s="393">
        <f>G772</f>
        <v>1555.65</v>
      </c>
      <c r="H771" s="393">
        <f t="shared" ref="H771:H773" si="352">H772</f>
        <v>1554.9929999999999</v>
      </c>
      <c r="I771" s="393">
        <f t="shared" si="334"/>
        <v>99.957766849869827</v>
      </c>
      <c r="J771" s="420"/>
      <c r="K771" s="385"/>
      <c r="L771" s="385"/>
      <c r="M771" s="385"/>
      <c r="N771" s="386"/>
    </row>
    <row r="772" spans="1:14" s="192" customFormat="1" ht="63" x14ac:dyDescent="0.25">
      <c r="A772" s="180" t="s">
        <v>1505</v>
      </c>
      <c r="B772" s="390">
        <v>906</v>
      </c>
      <c r="C772" s="392" t="s">
        <v>264</v>
      </c>
      <c r="D772" s="392" t="s">
        <v>213</v>
      </c>
      <c r="E772" s="392" t="s">
        <v>1319</v>
      </c>
      <c r="F772" s="392"/>
      <c r="G772" s="397">
        <f>G773</f>
        <v>1555.65</v>
      </c>
      <c r="H772" s="397">
        <f t="shared" si="352"/>
        <v>1554.9929999999999</v>
      </c>
      <c r="I772" s="397">
        <f t="shared" si="334"/>
        <v>99.957766849869827</v>
      </c>
      <c r="J772" s="413"/>
      <c r="K772" s="382"/>
    </row>
    <row r="773" spans="1:14" s="192" customFormat="1" ht="31.5" x14ac:dyDescent="0.25">
      <c r="A773" s="31" t="s">
        <v>272</v>
      </c>
      <c r="B773" s="390">
        <v>906</v>
      </c>
      <c r="C773" s="392" t="s">
        <v>264</v>
      </c>
      <c r="D773" s="392" t="s">
        <v>213</v>
      </c>
      <c r="E773" s="392" t="s">
        <v>1319</v>
      </c>
      <c r="F773" s="392" t="s">
        <v>273</v>
      </c>
      <c r="G773" s="397">
        <f>G774</f>
        <v>1555.65</v>
      </c>
      <c r="H773" s="397">
        <f t="shared" si="352"/>
        <v>1554.9929999999999</v>
      </c>
      <c r="I773" s="397">
        <f t="shared" si="334"/>
        <v>99.957766849869827</v>
      </c>
      <c r="J773" s="413"/>
      <c r="K773" s="401"/>
    </row>
    <row r="774" spans="1:14" s="192" customFormat="1" ht="15.75" x14ac:dyDescent="0.25">
      <c r="A774" s="487" t="s">
        <v>274</v>
      </c>
      <c r="B774" s="478">
        <v>906</v>
      </c>
      <c r="C774" s="479" t="s">
        <v>264</v>
      </c>
      <c r="D774" s="479" t="s">
        <v>213</v>
      </c>
      <c r="E774" s="479" t="s">
        <v>1319</v>
      </c>
      <c r="F774" s="479" t="s">
        <v>275</v>
      </c>
      <c r="G774" s="480">
        <f>1506.3+64.4-15.05</f>
        <v>1555.65</v>
      </c>
      <c r="H774" s="480">
        <v>1554.9929999999999</v>
      </c>
      <c r="I774" s="397">
        <f t="shared" si="334"/>
        <v>99.957766849869827</v>
      </c>
      <c r="J774" s="413"/>
      <c r="K774" s="401"/>
    </row>
    <row r="775" spans="1:14" s="192" customFormat="1" ht="31.5" x14ac:dyDescent="0.25">
      <c r="A775" s="488" t="s">
        <v>1448</v>
      </c>
      <c r="B775" s="482">
        <v>906</v>
      </c>
      <c r="C775" s="483" t="s">
        <v>264</v>
      </c>
      <c r="D775" s="483" t="s">
        <v>213</v>
      </c>
      <c r="E775" s="483" t="s">
        <v>1449</v>
      </c>
      <c r="F775" s="479"/>
      <c r="G775" s="486">
        <f>G776</f>
        <v>2691.645</v>
      </c>
      <c r="H775" s="486">
        <f t="shared" ref="H775:H777" si="353">H776</f>
        <v>2691.6210000000001</v>
      </c>
      <c r="I775" s="393">
        <f t="shared" si="334"/>
        <v>99.999108351955783</v>
      </c>
      <c r="J775" s="413"/>
      <c r="K775" s="401"/>
    </row>
    <row r="776" spans="1:14" s="192" customFormat="1" ht="56.25" customHeight="1" x14ac:dyDescent="0.25">
      <c r="A776" s="487" t="s">
        <v>1506</v>
      </c>
      <c r="B776" s="478">
        <v>906</v>
      </c>
      <c r="C776" s="479" t="s">
        <v>264</v>
      </c>
      <c r="D776" s="479" t="s">
        <v>213</v>
      </c>
      <c r="E776" s="479" t="s">
        <v>1450</v>
      </c>
      <c r="F776" s="479"/>
      <c r="G776" s="480">
        <f>G777</f>
        <v>2691.645</v>
      </c>
      <c r="H776" s="480">
        <f t="shared" si="353"/>
        <v>2691.6210000000001</v>
      </c>
      <c r="I776" s="397">
        <f t="shared" si="334"/>
        <v>99.999108351955783</v>
      </c>
      <c r="J776" s="413"/>
      <c r="K776" s="401"/>
      <c r="M776" s="350"/>
    </row>
    <row r="777" spans="1:14" s="192" customFormat="1" ht="31.5" x14ac:dyDescent="0.25">
      <c r="A777" s="487" t="s">
        <v>272</v>
      </c>
      <c r="B777" s="478">
        <v>906</v>
      </c>
      <c r="C777" s="479" t="s">
        <v>264</v>
      </c>
      <c r="D777" s="479" t="s">
        <v>213</v>
      </c>
      <c r="E777" s="479" t="s">
        <v>1450</v>
      </c>
      <c r="F777" s="479" t="s">
        <v>273</v>
      </c>
      <c r="G777" s="480">
        <f>G778</f>
        <v>2691.645</v>
      </c>
      <c r="H777" s="480">
        <f t="shared" si="353"/>
        <v>2691.6210000000001</v>
      </c>
      <c r="I777" s="397">
        <f t="shared" si="334"/>
        <v>99.999108351955783</v>
      </c>
      <c r="J777" s="413"/>
      <c r="K777" s="401"/>
    </row>
    <row r="778" spans="1:14" s="192" customFormat="1" ht="15.75" x14ac:dyDescent="0.25">
      <c r="A778" s="487" t="s">
        <v>274</v>
      </c>
      <c r="B778" s="478">
        <v>906</v>
      </c>
      <c r="C778" s="479" t="s">
        <v>264</v>
      </c>
      <c r="D778" s="479" t="s">
        <v>213</v>
      </c>
      <c r="E778" s="479" t="s">
        <v>1450</v>
      </c>
      <c r="F778" s="479" t="s">
        <v>275</v>
      </c>
      <c r="G778" s="480">
        <f>2581.7+110.4-0.455</f>
        <v>2691.645</v>
      </c>
      <c r="H778" s="480">
        <v>2691.6210000000001</v>
      </c>
      <c r="I778" s="397">
        <f t="shared" ref="I778:I841" si="354">H778/G778*100</f>
        <v>99.999108351955783</v>
      </c>
      <c r="J778" s="416"/>
      <c r="K778" s="127"/>
      <c r="L778" s="193"/>
    </row>
    <row r="779" spans="1:14" ht="47.25" hidden="1" x14ac:dyDescent="0.25">
      <c r="A779" s="34" t="s">
        <v>1356</v>
      </c>
      <c r="B779" s="391">
        <v>906</v>
      </c>
      <c r="C779" s="395" t="s">
        <v>264</v>
      </c>
      <c r="D779" s="395" t="s">
        <v>213</v>
      </c>
      <c r="E779" s="395" t="s">
        <v>324</v>
      </c>
      <c r="F779" s="395"/>
      <c r="G779" s="393">
        <f>G780</f>
        <v>0</v>
      </c>
      <c r="H779" s="393">
        <f t="shared" ref="H779:H782" si="355">H780</f>
        <v>0</v>
      </c>
      <c r="I779" s="397" t="e">
        <f t="shared" si="354"/>
        <v>#DIV/0!</v>
      </c>
      <c r="J779" s="413"/>
      <c r="K779" s="401"/>
      <c r="L779" s="192"/>
    </row>
    <row r="780" spans="1:14" s="192" customFormat="1" ht="47.25" hidden="1" x14ac:dyDescent="0.25">
      <c r="A780" s="34" t="s">
        <v>1023</v>
      </c>
      <c r="B780" s="391">
        <v>906</v>
      </c>
      <c r="C780" s="395" t="s">
        <v>264</v>
      </c>
      <c r="D780" s="395" t="s">
        <v>213</v>
      </c>
      <c r="E780" s="395" t="s">
        <v>933</v>
      </c>
      <c r="F780" s="395"/>
      <c r="G780" s="393">
        <f>G781</f>
        <v>0</v>
      </c>
      <c r="H780" s="393">
        <f t="shared" si="355"/>
        <v>0</v>
      </c>
      <c r="I780" s="397" t="e">
        <f t="shared" si="354"/>
        <v>#DIV/0!</v>
      </c>
      <c r="J780" s="413"/>
      <c r="K780" s="401"/>
    </row>
    <row r="781" spans="1:14" ht="47.25" hidden="1" x14ac:dyDescent="0.25">
      <c r="A781" s="31" t="s">
        <v>1082</v>
      </c>
      <c r="B781" s="390">
        <v>906</v>
      </c>
      <c r="C781" s="392" t="s">
        <v>264</v>
      </c>
      <c r="D781" s="392" t="s">
        <v>213</v>
      </c>
      <c r="E781" s="392" t="s">
        <v>934</v>
      </c>
      <c r="F781" s="392"/>
      <c r="G781" s="397">
        <f>G782</f>
        <v>0</v>
      </c>
      <c r="H781" s="397">
        <f t="shared" si="355"/>
        <v>0</v>
      </c>
      <c r="I781" s="397" t="e">
        <f t="shared" si="354"/>
        <v>#DIV/0!</v>
      </c>
      <c r="J781" s="413"/>
      <c r="K781" s="401"/>
      <c r="L781" s="192"/>
    </row>
    <row r="782" spans="1:14" ht="31.5" hidden="1" x14ac:dyDescent="0.25">
      <c r="A782" s="31" t="s">
        <v>272</v>
      </c>
      <c r="B782" s="390">
        <v>906</v>
      </c>
      <c r="C782" s="392" t="s">
        <v>264</v>
      </c>
      <c r="D782" s="392" t="s">
        <v>213</v>
      </c>
      <c r="E782" s="392" t="s">
        <v>934</v>
      </c>
      <c r="F782" s="392" t="s">
        <v>273</v>
      </c>
      <c r="G782" s="397">
        <f>G783</f>
        <v>0</v>
      </c>
      <c r="H782" s="397">
        <f t="shared" si="355"/>
        <v>0</v>
      </c>
      <c r="I782" s="397" t="e">
        <f t="shared" si="354"/>
        <v>#DIV/0!</v>
      </c>
      <c r="J782" s="413"/>
      <c r="K782" s="401"/>
      <c r="L782" s="192"/>
    </row>
    <row r="783" spans="1:14" ht="15.75" hidden="1" x14ac:dyDescent="0.25">
      <c r="A783" s="31" t="s">
        <v>274</v>
      </c>
      <c r="B783" s="390">
        <v>906</v>
      </c>
      <c r="C783" s="392" t="s">
        <v>264</v>
      </c>
      <c r="D783" s="392" t="s">
        <v>213</v>
      </c>
      <c r="E783" s="392" t="s">
        <v>934</v>
      </c>
      <c r="F783" s="392" t="s">
        <v>275</v>
      </c>
      <c r="G783" s="397">
        <v>0</v>
      </c>
      <c r="H783" s="397">
        <v>0</v>
      </c>
      <c r="I783" s="397" t="e">
        <f t="shared" si="354"/>
        <v>#DIV/0!</v>
      </c>
      <c r="J783" s="413"/>
      <c r="K783" s="401"/>
      <c r="L783" s="192"/>
    </row>
    <row r="784" spans="1:14" ht="47.25" x14ac:dyDescent="0.25">
      <c r="A784" s="400" t="s">
        <v>1340</v>
      </c>
      <c r="B784" s="391">
        <v>906</v>
      </c>
      <c r="C784" s="395" t="s">
        <v>264</v>
      </c>
      <c r="D784" s="395" t="s">
        <v>213</v>
      </c>
      <c r="E784" s="395" t="s">
        <v>705</v>
      </c>
      <c r="F784" s="403"/>
      <c r="G784" s="393">
        <f>G785</f>
        <v>837</v>
      </c>
      <c r="H784" s="393">
        <f t="shared" ref="H784:H787" si="356">H785</f>
        <v>784.38300000000004</v>
      </c>
      <c r="I784" s="393">
        <f t="shared" si="354"/>
        <v>93.713620071684588</v>
      </c>
      <c r="J784" s="413"/>
      <c r="K784" s="401"/>
      <c r="L784" s="192"/>
    </row>
    <row r="785" spans="1:12" s="192" customFormat="1" ht="47.25" x14ac:dyDescent="0.25">
      <c r="A785" s="400" t="s">
        <v>889</v>
      </c>
      <c r="B785" s="391">
        <v>906</v>
      </c>
      <c r="C785" s="395" t="s">
        <v>264</v>
      </c>
      <c r="D785" s="395" t="s">
        <v>213</v>
      </c>
      <c r="E785" s="395" t="s">
        <v>887</v>
      </c>
      <c r="F785" s="403"/>
      <c r="G785" s="393">
        <f>G786</f>
        <v>837</v>
      </c>
      <c r="H785" s="393">
        <f t="shared" si="356"/>
        <v>784.38300000000004</v>
      </c>
      <c r="I785" s="393">
        <f t="shared" si="354"/>
        <v>93.713620071684588</v>
      </c>
      <c r="J785" s="413"/>
      <c r="K785" s="401"/>
    </row>
    <row r="786" spans="1:12" ht="35.450000000000003" customHeight="1" x14ac:dyDescent="0.25">
      <c r="A786" s="98" t="s">
        <v>780</v>
      </c>
      <c r="B786" s="390">
        <v>906</v>
      </c>
      <c r="C786" s="392" t="s">
        <v>264</v>
      </c>
      <c r="D786" s="392" t="s">
        <v>213</v>
      </c>
      <c r="E786" s="392" t="s">
        <v>935</v>
      </c>
      <c r="F786" s="398"/>
      <c r="G786" s="397">
        <f>G787</f>
        <v>837</v>
      </c>
      <c r="H786" s="397">
        <f t="shared" si="356"/>
        <v>784.38300000000004</v>
      </c>
      <c r="I786" s="397">
        <f t="shared" si="354"/>
        <v>93.713620071684588</v>
      </c>
      <c r="J786" s="413"/>
      <c r="K786" s="401"/>
      <c r="L786" s="192"/>
    </row>
    <row r="787" spans="1:12" ht="39.75" customHeight="1" x14ac:dyDescent="0.25">
      <c r="A787" s="29" t="s">
        <v>272</v>
      </c>
      <c r="B787" s="390">
        <v>906</v>
      </c>
      <c r="C787" s="392" t="s">
        <v>264</v>
      </c>
      <c r="D787" s="392" t="s">
        <v>213</v>
      </c>
      <c r="E787" s="392" t="s">
        <v>935</v>
      </c>
      <c r="F787" s="398" t="s">
        <v>273</v>
      </c>
      <c r="G787" s="397">
        <f>G788</f>
        <v>837</v>
      </c>
      <c r="H787" s="397">
        <f t="shared" si="356"/>
        <v>784.38300000000004</v>
      </c>
      <c r="I787" s="397">
        <f t="shared" si="354"/>
        <v>93.713620071684588</v>
      </c>
      <c r="J787" s="413"/>
      <c r="K787" s="401"/>
      <c r="L787" s="192"/>
    </row>
    <row r="788" spans="1:12" ht="15.75" x14ac:dyDescent="0.25">
      <c r="A788" s="180" t="s">
        <v>274</v>
      </c>
      <c r="B788" s="390">
        <v>906</v>
      </c>
      <c r="C788" s="392" t="s">
        <v>264</v>
      </c>
      <c r="D788" s="392" t="s">
        <v>213</v>
      </c>
      <c r="E788" s="392" t="s">
        <v>935</v>
      </c>
      <c r="F788" s="398" t="s">
        <v>275</v>
      </c>
      <c r="G788" s="397">
        <v>837</v>
      </c>
      <c r="H788" s="397">
        <v>784.38300000000004</v>
      </c>
      <c r="I788" s="397">
        <f t="shared" si="354"/>
        <v>93.713620071684588</v>
      </c>
      <c r="J788" s="413"/>
      <c r="K788" s="401"/>
      <c r="L788" s="192"/>
    </row>
    <row r="789" spans="1:12" ht="15.75" x14ac:dyDescent="0.25">
      <c r="A789" s="394" t="s">
        <v>265</v>
      </c>
      <c r="B789" s="391">
        <v>906</v>
      </c>
      <c r="C789" s="395" t="s">
        <v>264</v>
      </c>
      <c r="D789" s="395" t="s">
        <v>215</v>
      </c>
      <c r="E789" s="395"/>
      <c r="F789" s="395"/>
      <c r="G789" s="44">
        <f>G790+G823</f>
        <v>42795.250000000015</v>
      </c>
      <c r="H789" s="44">
        <f>H790+H823</f>
        <v>39442.620999999999</v>
      </c>
      <c r="I789" s="393">
        <f t="shared" si="354"/>
        <v>92.165885232590028</v>
      </c>
      <c r="J789" s="413"/>
      <c r="K789" s="401"/>
      <c r="L789" s="192"/>
    </row>
    <row r="790" spans="1:12" ht="36.75" customHeight="1" x14ac:dyDescent="0.25">
      <c r="A790" s="394" t="s">
        <v>1355</v>
      </c>
      <c r="B790" s="391">
        <v>906</v>
      </c>
      <c r="C790" s="395" t="s">
        <v>264</v>
      </c>
      <c r="D790" s="395" t="s">
        <v>215</v>
      </c>
      <c r="E790" s="395" t="s">
        <v>406</v>
      </c>
      <c r="F790" s="395"/>
      <c r="G790" s="44">
        <f>G791+G801+G815+G819</f>
        <v>42498.950000000012</v>
      </c>
      <c r="H790" s="44">
        <f t="shared" ref="H790" si="357">H791+H801+H815+H819</f>
        <v>39149.53</v>
      </c>
      <c r="I790" s="393">
        <f t="shared" si="354"/>
        <v>92.118817053127174</v>
      </c>
      <c r="J790" s="413"/>
      <c r="K790" s="401"/>
      <c r="L790" s="192"/>
    </row>
    <row r="791" spans="1:12" s="192" customFormat="1" ht="36.75" customHeight="1" x14ac:dyDescent="0.25">
      <c r="A791" s="394" t="s">
        <v>936</v>
      </c>
      <c r="B791" s="391">
        <v>906</v>
      </c>
      <c r="C791" s="395" t="s">
        <v>264</v>
      </c>
      <c r="D791" s="395" t="s">
        <v>215</v>
      </c>
      <c r="E791" s="395" t="s">
        <v>1228</v>
      </c>
      <c r="F791" s="395"/>
      <c r="G791" s="44">
        <f>G792+G798+G795</f>
        <v>38831.025000000009</v>
      </c>
      <c r="H791" s="44">
        <f t="shared" ref="H791" si="358">H792+H798+H795</f>
        <v>36164.381999999998</v>
      </c>
      <c r="I791" s="393">
        <f t="shared" si="354"/>
        <v>93.132699948044092</v>
      </c>
      <c r="J791" s="413"/>
      <c r="K791" s="401"/>
    </row>
    <row r="792" spans="1:12" ht="31.5" x14ac:dyDescent="0.25">
      <c r="A792" s="396" t="s">
        <v>270</v>
      </c>
      <c r="B792" s="390">
        <v>906</v>
      </c>
      <c r="C792" s="392" t="s">
        <v>264</v>
      </c>
      <c r="D792" s="392" t="s">
        <v>215</v>
      </c>
      <c r="E792" s="392" t="s">
        <v>1258</v>
      </c>
      <c r="F792" s="392"/>
      <c r="G792" s="27">
        <f>G793</f>
        <v>14825.625</v>
      </c>
      <c r="H792" s="27">
        <f t="shared" ref="H792:H793" si="359">H793</f>
        <v>14825.625</v>
      </c>
      <c r="I792" s="397">
        <f t="shared" si="354"/>
        <v>100</v>
      </c>
      <c r="J792" s="413"/>
      <c r="K792" s="401"/>
      <c r="L792" s="192"/>
    </row>
    <row r="793" spans="1:12" ht="36.75" customHeight="1" x14ac:dyDescent="0.25">
      <c r="A793" s="396" t="s">
        <v>272</v>
      </c>
      <c r="B793" s="390">
        <v>906</v>
      </c>
      <c r="C793" s="392" t="s">
        <v>264</v>
      </c>
      <c r="D793" s="392" t="s">
        <v>215</v>
      </c>
      <c r="E793" s="392" t="s">
        <v>1258</v>
      </c>
      <c r="F793" s="392" t="s">
        <v>273</v>
      </c>
      <c r="G793" s="27">
        <f>G794</f>
        <v>14825.625</v>
      </c>
      <c r="H793" s="27">
        <f t="shared" si="359"/>
        <v>14825.625</v>
      </c>
      <c r="I793" s="397">
        <f t="shared" si="354"/>
        <v>100</v>
      </c>
      <c r="J793" s="413"/>
      <c r="K793" s="401"/>
      <c r="L793" s="192"/>
    </row>
    <row r="794" spans="1:12" ht="15.75" x14ac:dyDescent="0.25">
      <c r="A794" s="489" t="s">
        <v>274</v>
      </c>
      <c r="B794" s="478">
        <v>906</v>
      </c>
      <c r="C794" s="479" t="s">
        <v>264</v>
      </c>
      <c r="D794" s="479" t="s">
        <v>215</v>
      </c>
      <c r="E794" s="479" t="s">
        <v>1258</v>
      </c>
      <c r="F794" s="479" t="s">
        <v>275</v>
      </c>
      <c r="G794" s="490">
        <f>14834.95-5.2-24.925+80-59.2</f>
        <v>14825.625</v>
      </c>
      <c r="H794" s="490">
        <v>14825.625</v>
      </c>
      <c r="I794" s="397">
        <f t="shared" si="354"/>
        <v>100</v>
      </c>
      <c r="J794" s="413"/>
      <c r="K794" s="401"/>
      <c r="L794" s="192"/>
    </row>
    <row r="795" spans="1:12" s="192" customFormat="1" ht="47.25" x14ac:dyDescent="0.25">
      <c r="A795" s="396" t="s">
        <v>1660</v>
      </c>
      <c r="B795" s="390">
        <v>906</v>
      </c>
      <c r="C795" s="392" t="s">
        <v>264</v>
      </c>
      <c r="D795" s="392" t="s">
        <v>215</v>
      </c>
      <c r="E795" s="392" t="s">
        <v>1664</v>
      </c>
      <c r="F795" s="392"/>
      <c r="G795" s="27">
        <f>G796</f>
        <v>267.8</v>
      </c>
      <c r="H795" s="27">
        <f t="shared" ref="H795:H796" si="360">H796</f>
        <v>267.8</v>
      </c>
      <c r="I795" s="397">
        <f t="shared" si="354"/>
        <v>100</v>
      </c>
      <c r="J795" s="413"/>
      <c r="K795" s="401"/>
    </row>
    <row r="796" spans="1:12" s="192" customFormat="1" ht="31.5" x14ac:dyDescent="0.25">
      <c r="A796" s="396" t="s">
        <v>272</v>
      </c>
      <c r="B796" s="390">
        <v>906</v>
      </c>
      <c r="C796" s="392" t="s">
        <v>264</v>
      </c>
      <c r="D796" s="392" t="s">
        <v>215</v>
      </c>
      <c r="E796" s="392" t="s">
        <v>1664</v>
      </c>
      <c r="F796" s="392" t="s">
        <v>273</v>
      </c>
      <c r="G796" s="27">
        <f>G797</f>
        <v>267.8</v>
      </c>
      <c r="H796" s="27">
        <f t="shared" si="360"/>
        <v>267.8</v>
      </c>
      <c r="I796" s="397">
        <f t="shared" si="354"/>
        <v>100</v>
      </c>
      <c r="J796" s="413"/>
      <c r="K796" s="401"/>
    </row>
    <row r="797" spans="1:12" s="192" customFormat="1" ht="15.75" x14ac:dyDescent="0.25">
      <c r="A797" s="396" t="s">
        <v>274</v>
      </c>
      <c r="B797" s="390">
        <v>906</v>
      </c>
      <c r="C797" s="392" t="s">
        <v>264</v>
      </c>
      <c r="D797" s="392" t="s">
        <v>215</v>
      </c>
      <c r="E797" s="392" t="s">
        <v>1664</v>
      </c>
      <c r="F797" s="392" t="s">
        <v>275</v>
      </c>
      <c r="G797" s="27">
        <v>267.8</v>
      </c>
      <c r="H797" s="27">
        <v>267.8</v>
      </c>
      <c r="I797" s="397">
        <f t="shared" si="354"/>
        <v>100</v>
      </c>
      <c r="J797" s="413"/>
      <c r="K797" s="401"/>
    </row>
    <row r="798" spans="1:12" s="192" customFormat="1" ht="31.5" x14ac:dyDescent="0.25">
      <c r="A798" s="31" t="s">
        <v>1490</v>
      </c>
      <c r="B798" s="390">
        <v>906</v>
      </c>
      <c r="C798" s="392" t="s">
        <v>264</v>
      </c>
      <c r="D798" s="392" t="s">
        <v>215</v>
      </c>
      <c r="E798" s="392" t="s">
        <v>1489</v>
      </c>
      <c r="F798" s="392"/>
      <c r="G798" s="27">
        <f>G799</f>
        <v>23737.600000000002</v>
      </c>
      <c r="H798" s="27">
        <f t="shared" ref="H798:H799" si="361">H799</f>
        <v>21070.956999999999</v>
      </c>
      <c r="I798" s="397">
        <f t="shared" si="354"/>
        <v>88.766164228902653</v>
      </c>
      <c r="J798" s="413"/>
      <c r="K798" s="401"/>
    </row>
    <row r="799" spans="1:12" s="192" customFormat="1" ht="31.5" x14ac:dyDescent="0.25">
      <c r="A799" s="396" t="s">
        <v>272</v>
      </c>
      <c r="B799" s="390">
        <v>906</v>
      </c>
      <c r="C799" s="392" t="s">
        <v>264</v>
      </c>
      <c r="D799" s="392" t="s">
        <v>215</v>
      </c>
      <c r="E799" s="392" t="s">
        <v>1489</v>
      </c>
      <c r="F799" s="392" t="s">
        <v>273</v>
      </c>
      <c r="G799" s="27">
        <f>G800</f>
        <v>23737.600000000002</v>
      </c>
      <c r="H799" s="27">
        <f t="shared" si="361"/>
        <v>21070.956999999999</v>
      </c>
      <c r="I799" s="397">
        <f t="shared" si="354"/>
        <v>88.766164228902653</v>
      </c>
      <c r="J799" s="413"/>
      <c r="K799" s="401"/>
    </row>
    <row r="800" spans="1:12" s="192" customFormat="1" ht="15.75" x14ac:dyDescent="0.25">
      <c r="A800" s="31" t="s">
        <v>274</v>
      </c>
      <c r="B800" s="390">
        <v>906</v>
      </c>
      <c r="C800" s="392" t="s">
        <v>264</v>
      </c>
      <c r="D800" s="392" t="s">
        <v>215</v>
      </c>
      <c r="E800" s="392" t="s">
        <v>1489</v>
      </c>
      <c r="F800" s="392" t="s">
        <v>275</v>
      </c>
      <c r="G800" s="27">
        <f>17677.27+4071.2+2069.13-80</f>
        <v>23737.600000000002</v>
      </c>
      <c r="H800" s="27">
        <v>21070.956999999999</v>
      </c>
      <c r="I800" s="397">
        <f t="shared" si="354"/>
        <v>88.766164228902653</v>
      </c>
      <c r="J800" s="413"/>
      <c r="K800" s="401"/>
    </row>
    <row r="801" spans="1:12" s="192" customFormat="1" ht="36" customHeight="1" x14ac:dyDescent="0.25">
      <c r="A801" s="394" t="s">
        <v>899</v>
      </c>
      <c r="B801" s="391">
        <v>906</v>
      </c>
      <c r="C801" s="395" t="s">
        <v>264</v>
      </c>
      <c r="D801" s="395" t="s">
        <v>215</v>
      </c>
      <c r="E801" s="395" t="s">
        <v>1230</v>
      </c>
      <c r="F801" s="395"/>
      <c r="G801" s="44">
        <f>G805+G808+G802</f>
        <v>2243</v>
      </c>
      <c r="H801" s="44">
        <f t="shared" ref="H801" si="362">H805+H808+H802</f>
        <v>1908.8240000000001</v>
      </c>
      <c r="I801" s="393">
        <f t="shared" si="354"/>
        <v>85.101382077574684</v>
      </c>
      <c r="J801" s="413"/>
      <c r="K801" s="401"/>
    </row>
    <row r="802" spans="1:12" s="192" customFormat="1" ht="76.900000000000006" customHeight="1" x14ac:dyDescent="0.25">
      <c r="A802" s="31" t="s">
        <v>293</v>
      </c>
      <c r="B802" s="390">
        <v>906</v>
      </c>
      <c r="C802" s="392" t="s">
        <v>264</v>
      </c>
      <c r="D802" s="392" t="s">
        <v>215</v>
      </c>
      <c r="E802" s="392" t="s">
        <v>1389</v>
      </c>
      <c r="F802" s="392"/>
      <c r="G802" s="27">
        <f>G803</f>
        <v>1400</v>
      </c>
      <c r="H802" s="27">
        <f t="shared" ref="H802:H803" si="363">H803</f>
        <v>1296</v>
      </c>
      <c r="I802" s="397">
        <f t="shared" si="354"/>
        <v>92.571428571428569</v>
      </c>
      <c r="J802" s="413"/>
      <c r="K802" s="401"/>
    </row>
    <row r="803" spans="1:12" s="192" customFormat="1" ht="36" customHeight="1" x14ac:dyDescent="0.25">
      <c r="A803" s="396" t="s">
        <v>272</v>
      </c>
      <c r="B803" s="390">
        <v>906</v>
      </c>
      <c r="C803" s="392" t="s">
        <v>264</v>
      </c>
      <c r="D803" s="392" t="s">
        <v>215</v>
      </c>
      <c r="E803" s="392" t="s">
        <v>1389</v>
      </c>
      <c r="F803" s="392" t="s">
        <v>273</v>
      </c>
      <c r="G803" s="27">
        <f>G804</f>
        <v>1400</v>
      </c>
      <c r="H803" s="27">
        <f t="shared" si="363"/>
        <v>1296</v>
      </c>
      <c r="I803" s="397">
        <f t="shared" si="354"/>
        <v>92.571428571428569</v>
      </c>
      <c r="J803" s="413"/>
      <c r="K803" s="401"/>
    </row>
    <row r="804" spans="1:12" s="192" customFormat="1" ht="23.1" customHeight="1" x14ac:dyDescent="0.25">
      <c r="A804" s="396" t="s">
        <v>274</v>
      </c>
      <c r="B804" s="390">
        <v>906</v>
      </c>
      <c r="C804" s="392" t="s">
        <v>264</v>
      </c>
      <c r="D804" s="392" t="s">
        <v>215</v>
      </c>
      <c r="E804" s="392" t="s">
        <v>1389</v>
      </c>
      <c r="F804" s="392" t="s">
        <v>275</v>
      </c>
      <c r="G804" s="27">
        <v>1400</v>
      </c>
      <c r="H804" s="27">
        <v>1296</v>
      </c>
      <c r="I804" s="397">
        <f t="shared" si="354"/>
        <v>92.571428571428569</v>
      </c>
      <c r="J804" s="413"/>
      <c r="K804" s="401"/>
    </row>
    <row r="805" spans="1:12" s="192" customFormat="1" ht="60.75" customHeight="1" x14ac:dyDescent="0.25">
      <c r="A805" s="31" t="s">
        <v>289</v>
      </c>
      <c r="B805" s="390">
        <v>906</v>
      </c>
      <c r="C805" s="392" t="s">
        <v>264</v>
      </c>
      <c r="D805" s="392" t="s">
        <v>215</v>
      </c>
      <c r="E805" s="392" t="s">
        <v>1231</v>
      </c>
      <c r="F805" s="392"/>
      <c r="G805" s="27">
        <f>G806</f>
        <v>179</v>
      </c>
      <c r="H805" s="27">
        <f t="shared" ref="H805:H806" si="364">H806</f>
        <v>55.732999999999997</v>
      </c>
      <c r="I805" s="397">
        <f t="shared" si="354"/>
        <v>31.13575418994413</v>
      </c>
      <c r="J805" s="413"/>
      <c r="K805" s="401"/>
    </row>
    <row r="806" spans="1:12" s="192" customFormat="1" ht="31.5" x14ac:dyDescent="0.25">
      <c r="A806" s="396" t="s">
        <v>272</v>
      </c>
      <c r="B806" s="390">
        <v>906</v>
      </c>
      <c r="C806" s="392" t="s">
        <v>264</v>
      </c>
      <c r="D806" s="392" t="s">
        <v>215</v>
      </c>
      <c r="E806" s="392" t="s">
        <v>1231</v>
      </c>
      <c r="F806" s="392" t="s">
        <v>273</v>
      </c>
      <c r="G806" s="27">
        <f>G807</f>
        <v>179</v>
      </c>
      <c r="H806" s="27">
        <f t="shared" si="364"/>
        <v>55.732999999999997</v>
      </c>
      <c r="I806" s="397">
        <f t="shared" si="354"/>
        <v>31.13575418994413</v>
      </c>
      <c r="J806" s="413"/>
      <c r="K806" s="401"/>
    </row>
    <row r="807" spans="1:12" s="192" customFormat="1" ht="15.75" x14ac:dyDescent="0.25">
      <c r="A807" s="396" t="s">
        <v>274</v>
      </c>
      <c r="B807" s="390">
        <v>906</v>
      </c>
      <c r="C807" s="392" t="s">
        <v>264</v>
      </c>
      <c r="D807" s="392" t="s">
        <v>215</v>
      </c>
      <c r="E807" s="392" t="s">
        <v>1231</v>
      </c>
      <c r="F807" s="392" t="s">
        <v>275</v>
      </c>
      <c r="G807" s="27">
        <v>179</v>
      </c>
      <c r="H807" s="27">
        <v>55.732999999999997</v>
      </c>
      <c r="I807" s="397">
        <f t="shared" si="354"/>
        <v>31.13575418994413</v>
      </c>
      <c r="J807" s="413"/>
      <c r="K807" s="401"/>
    </row>
    <row r="808" spans="1:12" s="192" customFormat="1" ht="63" x14ac:dyDescent="0.25">
      <c r="A808" s="31" t="s">
        <v>291</v>
      </c>
      <c r="B808" s="390">
        <v>906</v>
      </c>
      <c r="C808" s="392" t="s">
        <v>264</v>
      </c>
      <c r="D808" s="392" t="s">
        <v>215</v>
      </c>
      <c r="E808" s="392" t="s">
        <v>1232</v>
      </c>
      <c r="F808" s="392"/>
      <c r="G808" s="27">
        <f>G809</f>
        <v>664</v>
      </c>
      <c r="H808" s="27">
        <f t="shared" ref="H808:H809" si="365">H809</f>
        <v>557.09100000000001</v>
      </c>
      <c r="I808" s="397">
        <f t="shared" si="354"/>
        <v>83.899246987951798</v>
      </c>
      <c r="J808" s="413"/>
      <c r="K808" s="401"/>
    </row>
    <row r="809" spans="1:12" s="192" customFormat="1" ht="31.5" x14ac:dyDescent="0.25">
      <c r="A809" s="396" t="s">
        <v>272</v>
      </c>
      <c r="B809" s="390">
        <v>906</v>
      </c>
      <c r="C809" s="392" t="s">
        <v>264</v>
      </c>
      <c r="D809" s="392" t="s">
        <v>215</v>
      </c>
      <c r="E809" s="392" t="s">
        <v>1232</v>
      </c>
      <c r="F809" s="392" t="s">
        <v>273</v>
      </c>
      <c r="G809" s="27">
        <f>G810</f>
        <v>664</v>
      </c>
      <c r="H809" s="27">
        <f t="shared" si="365"/>
        <v>557.09100000000001</v>
      </c>
      <c r="I809" s="397">
        <f t="shared" si="354"/>
        <v>83.899246987951798</v>
      </c>
      <c r="J809" s="413"/>
      <c r="K809" s="401"/>
    </row>
    <row r="810" spans="1:12" s="192" customFormat="1" ht="15.75" x14ac:dyDescent="0.25">
      <c r="A810" s="396" t="s">
        <v>274</v>
      </c>
      <c r="B810" s="390">
        <v>906</v>
      </c>
      <c r="C810" s="392" t="s">
        <v>264</v>
      </c>
      <c r="D810" s="392" t="s">
        <v>215</v>
      </c>
      <c r="E810" s="392" t="s">
        <v>1232</v>
      </c>
      <c r="F810" s="392" t="s">
        <v>275</v>
      </c>
      <c r="G810" s="27">
        <f>549.46+0.04+114.5</f>
        <v>664</v>
      </c>
      <c r="H810" s="27">
        <v>557.09100000000001</v>
      </c>
      <c r="I810" s="397">
        <f t="shared" si="354"/>
        <v>83.899246987951798</v>
      </c>
      <c r="J810" s="413"/>
      <c r="K810" s="401"/>
    </row>
    <row r="811" spans="1:12" s="192" customFormat="1" ht="30.75" hidden="1" customHeight="1" x14ac:dyDescent="0.25">
      <c r="A811" s="394" t="s">
        <v>1290</v>
      </c>
      <c r="B811" s="391">
        <v>906</v>
      </c>
      <c r="C811" s="395" t="s">
        <v>264</v>
      </c>
      <c r="D811" s="395" t="s">
        <v>215</v>
      </c>
      <c r="E811" s="395" t="s">
        <v>1235</v>
      </c>
      <c r="F811" s="395"/>
      <c r="G811" s="44">
        <f>G812</f>
        <v>0</v>
      </c>
      <c r="H811" s="44">
        <f t="shared" ref="H811:H813" si="366">H812</f>
        <v>0</v>
      </c>
      <c r="I811" s="397" t="e">
        <f t="shared" si="354"/>
        <v>#DIV/0!</v>
      </c>
      <c r="J811" s="413"/>
      <c r="K811" s="401"/>
    </row>
    <row r="812" spans="1:12" ht="31.5" hidden="1" x14ac:dyDescent="0.25">
      <c r="A812" s="45" t="s">
        <v>766</v>
      </c>
      <c r="B812" s="390">
        <v>906</v>
      </c>
      <c r="C812" s="392" t="s">
        <v>264</v>
      </c>
      <c r="D812" s="392" t="s">
        <v>215</v>
      </c>
      <c r="E812" s="392" t="s">
        <v>1327</v>
      </c>
      <c r="F812" s="392"/>
      <c r="G812" s="27">
        <f>G813</f>
        <v>0</v>
      </c>
      <c r="H812" s="27">
        <f t="shared" si="366"/>
        <v>0</v>
      </c>
      <c r="I812" s="397" t="e">
        <f t="shared" si="354"/>
        <v>#DIV/0!</v>
      </c>
      <c r="J812" s="413"/>
      <c r="K812" s="401"/>
      <c r="L812" s="192"/>
    </row>
    <row r="813" spans="1:12" ht="31.5" hidden="1" x14ac:dyDescent="0.25">
      <c r="A813" s="31" t="s">
        <v>272</v>
      </c>
      <c r="B813" s="390">
        <v>906</v>
      </c>
      <c r="C813" s="392" t="s">
        <v>264</v>
      </c>
      <c r="D813" s="392" t="s">
        <v>215</v>
      </c>
      <c r="E813" s="392" t="s">
        <v>1327</v>
      </c>
      <c r="F813" s="392" t="s">
        <v>273</v>
      </c>
      <c r="G813" s="27">
        <f>G814</f>
        <v>0</v>
      </c>
      <c r="H813" s="27">
        <f t="shared" si="366"/>
        <v>0</v>
      </c>
      <c r="I813" s="397" t="e">
        <f t="shared" si="354"/>
        <v>#DIV/0!</v>
      </c>
      <c r="J813" s="413"/>
      <c r="K813" s="401"/>
      <c r="L813" s="192"/>
    </row>
    <row r="814" spans="1:12" ht="15.75" hidden="1" x14ac:dyDescent="0.25">
      <c r="A814" s="31" t="s">
        <v>274</v>
      </c>
      <c r="B814" s="390">
        <v>906</v>
      </c>
      <c r="C814" s="392" t="s">
        <v>264</v>
      </c>
      <c r="D814" s="392" t="s">
        <v>215</v>
      </c>
      <c r="E814" s="392" t="s">
        <v>1327</v>
      </c>
      <c r="F814" s="392" t="s">
        <v>275</v>
      </c>
      <c r="G814" s="27">
        <v>0</v>
      </c>
      <c r="H814" s="27">
        <v>0</v>
      </c>
      <c r="I814" s="397" t="e">
        <f t="shared" si="354"/>
        <v>#DIV/0!</v>
      </c>
      <c r="J814" s="413"/>
      <c r="K814" s="401"/>
      <c r="L814" s="192"/>
    </row>
    <row r="815" spans="1:12" s="192" customFormat="1" ht="31.5" x14ac:dyDescent="0.25">
      <c r="A815" s="203" t="s">
        <v>947</v>
      </c>
      <c r="B815" s="391">
        <v>906</v>
      </c>
      <c r="C815" s="395" t="s">
        <v>264</v>
      </c>
      <c r="D815" s="395" t="s">
        <v>215</v>
      </c>
      <c r="E815" s="395" t="s">
        <v>1238</v>
      </c>
      <c r="F815" s="395"/>
      <c r="G815" s="44">
        <f>G816</f>
        <v>1100</v>
      </c>
      <c r="H815" s="44">
        <f t="shared" ref="H815:H817" si="367">H816</f>
        <v>1076.3240000000001</v>
      </c>
      <c r="I815" s="393">
        <f t="shared" si="354"/>
        <v>97.847636363636369</v>
      </c>
      <c r="J815" s="413"/>
      <c r="K815" s="401"/>
    </row>
    <row r="816" spans="1:12" ht="37.5" customHeight="1" x14ac:dyDescent="0.25">
      <c r="A816" s="45" t="s">
        <v>764</v>
      </c>
      <c r="B816" s="390">
        <v>906</v>
      </c>
      <c r="C816" s="392" t="s">
        <v>264</v>
      </c>
      <c r="D816" s="392" t="s">
        <v>215</v>
      </c>
      <c r="E816" s="392" t="s">
        <v>1239</v>
      </c>
      <c r="F816" s="392"/>
      <c r="G816" s="27">
        <f>G817</f>
        <v>1100</v>
      </c>
      <c r="H816" s="27">
        <f t="shared" si="367"/>
        <v>1076.3240000000001</v>
      </c>
      <c r="I816" s="397">
        <f t="shared" si="354"/>
        <v>97.847636363636369</v>
      </c>
      <c r="J816" s="413"/>
      <c r="K816" s="401"/>
      <c r="L816" s="192"/>
    </row>
    <row r="817" spans="1:12" ht="32.25" customHeight="1" x14ac:dyDescent="0.25">
      <c r="A817" s="396" t="s">
        <v>272</v>
      </c>
      <c r="B817" s="390">
        <v>906</v>
      </c>
      <c r="C817" s="392" t="s">
        <v>264</v>
      </c>
      <c r="D817" s="392" t="s">
        <v>215</v>
      </c>
      <c r="E817" s="392" t="s">
        <v>1239</v>
      </c>
      <c r="F817" s="392" t="s">
        <v>273</v>
      </c>
      <c r="G817" s="27">
        <f>G818</f>
        <v>1100</v>
      </c>
      <c r="H817" s="27">
        <f t="shared" si="367"/>
        <v>1076.3240000000001</v>
      </c>
      <c r="I817" s="397">
        <f t="shared" si="354"/>
        <v>97.847636363636369</v>
      </c>
      <c r="J817" s="413"/>
      <c r="K817" s="401"/>
      <c r="L817" s="192"/>
    </row>
    <row r="818" spans="1:12" ht="15.75" x14ac:dyDescent="0.25">
      <c r="A818" s="31" t="s">
        <v>274</v>
      </c>
      <c r="B818" s="390">
        <v>906</v>
      </c>
      <c r="C818" s="392" t="s">
        <v>264</v>
      </c>
      <c r="D818" s="392" t="s">
        <v>215</v>
      </c>
      <c r="E818" s="392" t="s">
        <v>1239</v>
      </c>
      <c r="F818" s="392" t="s">
        <v>275</v>
      </c>
      <c r="G818" s="27">
        <f>1564-164-300</f>
        <v>1100</v>
      </c>
      <c r="H818" s="27">
        <v>1076.3240000000001</v>
      </c>
      <c r="I818" s="397">
        <f t="shared" si="354"/>
        <v>97.847636363636369</v>
      </c>
      <c r="J818" s="413"/>
      <c r="K818" s="401"/>
      <c r="L818" s="192"/>
    </row>
    <row r="819" spans="1:12" s="192" customFormat="1" ht="47.25" x14ac:dyDescent="0.25">
      <c r="A819" s="34" t="s">
        <v>1639</v>
      </c>
      <c r="B819" s="482">
        <v>906</v>
      </c>
      <c r="C819" s="483" t="s">
        <v>264</v>
      </c>
      <c r="D819" s="483" t="s">
        <v>215</v>
      </c>
      <c r="E819" s="483" t="s">
        <v>1640</v>
      </c>
      <c r="F819" s="483"/>
      <c r="G819" s="491">
        <f>G820</f>
        <v>324.92500000000001</v>
      </c>
      <c r="H819" s="491">
        <f t="shared" ref="H819:H821" si="368">H820</f>
        <v>0</v>
      </c>
      <c r="I819" s="393">
        <f t="shared" si="354"/>
        <v>0</v>
      </c>
      <c r="J819" s="413"/>
      <c r="K819" s="401"/>
    </row>
    <row r="820" spans="1:12" s="192" customFormat="1" ht="31.5" x14ac:dyDescent="0.25">
      <c r="A820" s="31" t="s">
        <v>1653</v>
      </c>
      <c r="B820" s="478">
        <v>906</v>
      </c>
      <c r="C820" s="479" t="s">
        <v>264</v>
      </c>
      <c r="D820" s="479" t="s">
        <v>215</v>
      </c>
      <c r="E820" s="479" t="s">
        <v>1641</v>
      </c>
      <c r="F820" s="479"/>
      <c r="G820" s="490">
        <f>G821</f>
        <v>324.92500000000001</v>
      </c>
      <c r="H820" s="490">
        <f t="shared" si="368"/>
        <v>0</v>
      </c>
      <c r="I820" s="397">
        <f t="shared" si="354"/>
        <v>0</v>
      </c>
      <c r="J820" s="413"/>
      <c r="K820" s="401"/>
    </row>
    <row r="821" spans="1:12" s="192" customFormat="1" ht="31.5" x14ac:dyDescent="0.25">
      <c r="A821" s="396" t="s">
        <v>272</v>
      </c>
      <c r="B821" s="478">
        <v>906</v>
      </c>
      <c r="C821" s="479" t="s">
        <v>264</v>
      </c>
      <c r="D821" s="479" t="s">
        <v>215</v>
      </c>
      <c r="E821" s="479" t="s">
        <v>1641</v>
      </c>
      <c r="F821" s="479" t="s">
        <v>273</v>
      </c>
      <c r="G821" s="490">
        <f>G822</f>
        <v>324.92500000000001</v>
      </c>
      <c r="H821" s="490">
        <f t="shared" si="368"/>
        <v>0</v>
      </c>
      <c r="I821" s="397">
        <f t="shared" si="354"/>
        <v>0</v>
      </c>
      <c r="J821" s="413"/>
      <c r="K821" s="401"/>
    </row>
    <row r="822" spans="1:12" s="192" customFormat="1" ht="20.45" customHeight="1" x14ac:dyDescent="0.25">
      <c r="A822" s="535" t="s">
        <v>1822</v>
      </c>
      <c r="B822" s="478">
        <v>906</v>
      </c>
      <c r="C822" s="479" t="s">
        <v>264</v>
      </c>
      <c r="D822" s="479" t="s">
        <v>215</v>
      </c>
      <c r="E822" s="479" t="s">
        <v>1641</v>
      </c>
      <c r="F822" s="479" t="s">
        <v>1643</v>
      </c>
      <c r="G822" s="490">
        <v>324.92500000000001</v>
      </c>
      <c r="H822" s="490">
        <v>0</v>
      </c>
      <c r="I822" s="397">
        <f t="shared" si="354"/>
        <v>0</v>
      </c>
      <c r="J822" s="413"/>
      <c r="K822" s="401"/>
    </row>
    <row r="823" spans="1:12" ht="54.75" customHeight="1" x14ac:dyDescent="0.25">
      <c r="A823" s="400" t="s">
        <v>1340</v>
      </c>
      <c r="B823" s="391">
        <v>906</v>
      </c>
      <c r="C823" s="395" t="s">
        <v>264</v>
      </c>
      <c r="D823" s="395" t="s">
        <v>215</v>
      </c>
      <c r="E823" s="395" t="s">
        <v>705</v>
      </c>
      <c r="F823" s="403"/>
      <c r="G823" s="44">
        <f>G825</f>
        <v>296.3</v>
      </c>
      <c r="H823" s="44">
        <f t="shared" ref="H823" si="369">H825</f>
        <v>293.09100000000001</v>
      </c>
      <c r="I823" s="393">
        <f t="shared" si="354"/>
        <v>98.916976037799529</v>
      </c>
      <c r="J823" s="413"/>
      <c r="K823" s="401"/>
      <c r="L823" s="192"/>
    </row>
    <row r="824" spans="1:12" s="192" customFormat="1" ht="54.75" customHeight="1" x14ac:dyDescent="0.25">
      <c r="A824" s="400" t="s">
        <v>889</v>
      </c>
      <c r="B824" s="391">
        <v>906</v>
      </c>
      <c r="C824" s="395" t="s">
        <v>264</v>
      </c>
      <c r="D824" s="395" t="s">
        <v>941</v>
      </c>
      <c r="E824" s="395" t="s">
        <v>887</v>
      </c>
      <c r="F824" s="403"/>
      <c r="G824" s="44">
        <f>G825</f>
        <v>296.3</v>
      </c>
      <c r="H824" s="44">
        <f t="shared" ref="H824:H826" si="370">H825</f>
        <v>293.09100000000001</v>
      </c>
      <c r="I824" s="393">
        <f t="shared" si="354"/>
        <v>98.916976037799529</v>
      </c>
      <c r="J824" s="413"/>
      <c r="K824" s="401"/>
    </row>
    <row r="825" spans="1:12" ht="38.25" customHeight="1" x14ac:dyDescent="0.25">
      <c r="A825" s="98" t="s">
        <v>780</v>
      </c>
      <c r="B825" s="390">
        <v>906</v>
      </c>
      <c r="C825" s="392" t="s">
        <v>264</v>
      </c>
      <c r="D825" s="392" t="s">
        <v>215</v>
      </c>
      <c r="E825" s="392" t="s">
        <v>935</v>
      </c>
      <c r="F825" s="398"/>
      <c r="G825" s="27">
        <f>G826</f>
        <v>296.3</v>
      </c>
      <c r="H825" s="27">
        <f t="shared" si="370"/>
        <v>293.09100000000001</v>
      </c>
      <c r="I825" s="397">
        <f t="shared" si="354"/>
        <v>98.916976037799529</v>
      </c>
      <c r="J825" s="413"/>
      <c r="K825" s="401"/>
      <c r="L825" s="192"/>
    </row>
    <row r="826" spans="1:12" ht="34.5" customHeight="1" x14ac:dyDescent="0.25">
      <c r="A826" s="29" t="s">
        <v>272</v>
      </c>
      <c r="B826" s="390">
        <v>906</v>
      </c>
      <c r="C826" s="392" t="s">
        <v>264</v>
      </c>
      <c r="D826" s="392" t="s">
        <v>215</v>
      </c>
      <c r="E826" s="392" t="s">
        <v>935</v>
      </c>
      <c r="F826" s="398" t="s">
        <v>273</v>
      </c>
      <c r="G826" s="27">
        <f>G827</f>
        <v>296.3</v>
      </c>
      <c r="H826" s="27">
        <f t="shared" si="370"/>
        <v>293.09100000000001</v>
      </c>
      <c r="I826" s="397">
        <f t="shared" si="354"/>
        <v>98.916976037799529</v>
      </c>
      <c r="J826" s="413"/>
      <c r="K826" s="401"/>
      <c r="L826" s="192"/>
    </row>
    <row r="827" spans="1:12" ht="15.75" x14ac:dyDescent="0.25">
      <c r="A827" s="180" t="s">
        <v>274</v>
      </c>
      <c r="B827" s="390">
        <v>906</v>
      </c>
      <c r="C827" s="392" t="s">
        <v>264</v>
      </c>
      <c r="D827" s="392" t="s">
        <v>215</v>
      </c>
      <c r="E827" s="392" t="s">
        <v>935</v>
      </c>
      <c r="F827" s="398" t="s">
        <v>275</v>
      </c>
      <c r="G827" s="27">
        <f>291.1+5.2</f>
        <v>296.3</v>
      </c>
      <c r="H827" s="27">
        <v>293.09100000000001</v>
      </c>
      <c r="I827" s="397">
        <f t="shared" si="354"/>
        <v>98.916976037799529</v>
      </c>
      <c r="J827" s="413"/>
      <c r="K827" s="401"/>
      <c r="L827" s="192"/>
    </row>
    <row r="828" spans="1:12" ht="21.2" customHeight="1" x14ac:dyDescent="0.25">
      <c r="A828" s="394" t="s">
        <v>466</v>
      </c>
      <c r="B828" s="391">
        <v>906</v>
      </c>
      <c r="C828" s="395" t="s">
        <v>264</v>
      </c>
      <c r="D828" s="395" t="s">
        <v>264</v>
      </c>
      <c r="E828" s="395"/>
      <c r="F828" s="395"/>
      <c r="G828" s="393">
        <f>G829</f>
        <v>6043.9000000000005</v>
      </c>
      <c r="H828" s="393">
        <f t="shared" ref="H828:H830" si="371">H829</f>
        <v>5434.3469999999998</v>
      </c>
      <c r="I828" s="393">
        <f t="shared" si="354"/>
        <v>89.914575026059325</v>
      </c>
      <c r="J828" s="413"/>
      <c r="K828" s="401"/>
      <c r="L828" s="192"/>
    </row>
    <row r="829" spans="1:12" ht="31.5" x14ac:dyDescent="0.25">
      <c r="A829" s="394" t="s">
        <v>1357</v>
      </c>
      <c r="B829" s="391">
        <v>906</v>
      </c>
      <c r="C829" s="395" t="s">
        <v>264</v>
      </c>
      <c r="D829" s="395" t="s">
        <v>264</v>
      </c>
      <c r="E829" s="395" t="s">
        <v>406</v>
      </c>
      <c r="F829" s="395"/>
      <c r="G829" s="393">
        <f>G830</f>
        <v>6043.9000000000005</v>
      </c>
      <c r="H829" s="393">
        <f t="shared" si="371"/>
        <v>5434.3469999999998</v>
      </c>
      <c r="I829" s="393">
        <f t="shared" si="354"/>
        <v>89.914575026059325</v>
      </c>
      <c r="J829" s="413"/>
      <c r="K829" s="401"/>
      <c r="L829" s="192"/>
    </row>
    <row r="830" spans="1:12" s="192" customFormat="1" ht="31.5" x14ac:dyDescent="0.25">
      <c r="A830" s="394" t="s">
        <v>942</v>
      </c>
      <c r="B830" s="391">
        <v>906</v>
      </c>
      <c r="C830" s="395" t="s">
        <v>264</v>
      </c>
      <c r="D830" s="395" t="s">
        <v>264</v>
      </c>
      <c r="E830" s="395" t="s">
        <v>1237</v>
      </c>
      <c r="F830" s="395"/>
      <c r="G830" s="393">
        <f>G831</f>
        <v>6043.9000000000005</v>
      </c>
      <c r="H830" s="393">
        <f t="shared" si="371"/>
        <v>5434.3469999999998</v>
      </c>
      <c r="I830" s="393">
        <f t="shared" si="354"/>
        <v>89.914575026059325</v>
      </c>
      <c r="J830" s="413"/>
      <c r="K830" s="401"/>
    </row>
    <row r="831" spans="1:12" ht="31.5" x14ac:dyDescent="0.25">
      <c r="A831" s="31" t="s">
        <v>1060</v>
      </c>
      <c r="B831" s="390">
        <v>906</v>
      </c>
      <c r="C831" s="392" t="s">
        <v>264</v>
      </c>
      <c r="D831" s="392" t="s">
        <v>264</v>
      </c>
      <c r="E831" s="392" t="s">
        <v>1259</v>
      </c>
      <c r="F831" s="392"/>
      <c r="G831" s="397">
        <f t="shared" ref="G831:H832" si="372">G832</f>
        <v>6043.9000000000005</v>
      </c>
      <c r="H831" s="397">
        <f t="shared" si="372"/>
        <v>5434.3469999999998</v>
      </c>
      <c r="I831" s="397">
        <f t="shared" si="354"/>
        <v>89.914575026059325</v>
      </c>
      <c r="J831" s="413"/>
      <c r="K831" s="401"/>
      <c r="L831" s="192"/>
    </row>
    <row r="832" spans="1:12" ht="36" customHeight="1" x14ac:dyDescent="0.25">
      <c r="A832" s="396" t="s">
        <v>272</v>
      </c>
      <c r="B832" s="390">
        <v>906</v>
      </c>
      <c r="C832" s="392" t="s">
        <v>264</v>
      </c>
      <c r="D832" s="392" t="s">
        <v>264</v>
      </c>
      <c r="E832" s="392" t="s">
        <v>1259</v>
      </c>
      <c r="F832" s="392" t="s">
        <v>273</v>
      </c>
      <c r="G832" s="397">
        <f t="shared" si="372"/>
        <v>6043.9000000000005</v>
      </c>
      <c r="H832" s="397">
        <f t="shared" si="372"/>
        <v>5434.3469999999998</v>
      </c>
      <c r="I832" s="397">
        <f t="shared" si="354"/>
        <v>89.914575026059325</v>
      </c>
      <c r="J832" s="425"/>
      <c r="K832" s="401"/>
      <c r="L832" s="192"/>
    </row>
    <row r="833" spans="1:12" ht="15.75" x14ac:dyDescent="0.25">
      <c r="A833" s="396" t="s">
        <v>274</v>
      </c>
      <c r="B833" s="390">
        <v>906</v>
      </c>
      <c r="C833" s="392" t="s">
        <v>264</v>
      </c>
      <c r="D833" s="392" t="s">
        <v>264</v>
      </c>
      <c r="E833" s="392" t="s">
        <v>1259</v>
      </c>
      <c r="F833" s="392" t="s">
        <v>275</v>
      </c>
      <c r="G833" s="27">
        <f>3485+99-184+2161.1+404.7+63.47+8.35+22.38-16.1</f>
        <v>6043.9000000000005</v>
      </c>
      <c r="H833" s="27">
        <v>5434.3469999999998</v>
      </c>
      <c r="I833" s="397">
        <f t="shared" si="354"/>
        <v>89.914575026059325</v>
      </c>
      <c r="J833" s="413"/>
      <c r="K833" s="401"/>
      <c r="L833" s="192"/>
    </row>
    <row r="834" spans="1:12" ht="15.75" x14ac:dyDescent="0.25">
      <c r="A834" s="394" t="s">
        <v>295</v>
      </c>
      <c r="B834" s="391">
        <v>906</v>
      </c>
      <c r="C834" s="395" t="s">
        <v>264</v>
      </c>
      <c r="D834" s="395" t="s">
        <v>219</v>
      </c>
      <c r="E834" s="395"/>
      <c r="F834" s="395"/>
      <c r="G834" s="393">
        <f>G835+G848</f>
        <v>22740.641</v>
      </c>
      <c r="H834" s="393">
        <f>H835+H848</f>
        <v>22321.690999999999</v>
      </c>
      <c r="I834" s="393">
        <f t="shared" si="354"/>
        <v>98.157703646084556</v>
      </c>
      <c r="J834" s="413"/>
      <c r="K834" s="401"/>
      <c r="L834" s="192"/>
    </row>
    <row r="835" spans="1:12" ht="31.5" x14ac:dyDescent="0.25">
      <c r="A835" s="394" t="s">
        <v>916</v>
      </c>
      <c r="B835" s="391">
        <v>906</v>
      </c>
      <c r="C835" s="395" t="s">
        <v>264</v>
      </c>
      <c r="D835" s="395" t="s">
        <v>219</v>
      </c>
      <c r="E835" s="395" t="s">
        <v>857</v>
      </c>
      <c r="F835" s="395"/>
      <c r="G835" s="393">
        <f>G836</f>
        <v>6933.6795999999995</v>
      </c>
      <c r="H835" s="393">
        <f t="shared" ref="H835" si="373">H836</f>
        <v>6827.9660000000003</v>
      </c>
      <c r="I835" s="393">
        <f t="shared" si="354"/>
        <v>98.475360759386703</v>
      </c>
      <c r="J835" s="413"/>
      <c r="K835" s="401"/>
      <c r="L835" s="192"/>
    </row>
    <row r="836" spans="1:12" ht="15.75" x14ac:dyDescent="0.25">
      <c r="A836" s="394" t="s">
        <v>917</v>
      </c>
      <c r="B836" s="391">
        <v>906</v>
      </c>
      <c r="C836" s="395" t="s">
        <v>264</v>
      </c>
      <c r="D836" s="395" t="s">
        <v>219</v>
      </c>
      <c r="E836" s="395" t="s">
        <v>858</v>
      </c>
      <c r="F836" s="395"/>
      <c r="G836" s="393">
        <f>G837+G842+G845</f>
        <v>6933.6795999999995</v>
      </c>
      <c r="H836" s="393">
        <f t="shared" ref="H836" si="374">H837+H842+H845</f>
        <v>6827.9660000000003</v>
      </c>
      <c r="I836" s="393">
        <f t="shared" si="354"/>
        <v>98.475360759386703</v>
      </c>
      <c r="J836" s="413"/>
      <c r="K836" s="401"/>
      <c r="L836" s="192"/>
    </row>
    <row r="837" spans="1:12" ht="34.700000000000003" customHeight="1" x14ac:dyDescent="0.25">
      <c r="A837" s="396" t="s">
        <v>896</v>
      </c>
      <c r="B837" s="390">
        <v>906</v>
      </c>
      <c r="C837" s="392" t="s">
        <v>264</v>
      </c>
      <c r="D837" s="392" t="s">
        <v>219</v>
      </c>
      <c r="E837" s="392" t="s">
        <v>859</v>
      </c>
      <c r="F837" s="392"/>
      <c r="G837" s="397">
        <f>G838+G840</f>
        <v>6420.5999999999995</v>
      </c>
      <c r="H837" s="397">
        <f>H838+H840</f>
        <v>6314.902</v>
      </c>
      <c r="I837" s="397">
        <f t="shared" si="354"/>
        <v>98.353767560664124</v>
      </c>
      <c r="J837" s="413"/>
      <c r="K837" s="401"/>
      <c r="L837" s="192"/>
    </row>
    <row r="838" spans="1:12" ht="72" customHeight="1" x14ac:dyDescent="0.25">
      <c r="A838" s="396" t="s">
        <v>127</v>
      </c>
      <c r="B838" s="390">
        <v>906</v>
      </c>
      <c r="C838" s="392" t="s">
        <v>264</v>
      </c>
      <c r="D838" s="392" t="s">
        <v>219</v>
      </c>
      <c r="E838" s="392" t="s">
        <v>859</v>
      </c>
      <c r="F838" s="392" t="s">
        <v>128</v>
      </c>
      <c r="G838" s="397">
        <f>G839</f>
        <v>6208.5999999999995</v>
      </c>
      <c r="H838" s="397">
        <f t="shared" ref="H838" si="375">H839</f>
        <v>6151.9930000000004</v>
      </c>
      <c r="I838" s="397">
        <f t="shared" si="354"/>
        <v>99.088248558451198</v>
      </c>
      <c r="J838" s="413"/>
      <c r="K838" s="401"/>
      <c r="L838" s="192"/>
    </row>
    <row r="839" spans="1:12" ht="31.5" x14ac:dyDescent="0.25">
      <c r="A839" s="396" t="s">
        <v>129</v>
      </c>
      <c r="B839" s="390">
        <v>906</v>
      </c>
      <c r="C839" s="392" t="s">
        <v>264</v>
      </c>
      <c r="D839" s="392" t="s">
        <v>219</v>
      </c>
      <c r="E839" s="392" t="s">
        <v>859</v>
      </c>
      <c r="F839" s="392" t="s">
        <v>130</v>
      </c>
      <c r="G839" s="27">
        <f>5710.7+354.9+143</f>
        <v>6208.5999999999995</v>
      </c>
      <c r="H839" s="27">
        <v>6151.9930000000004</v>
      </c>
      <c r="I839" s="397">
        <f t="shared" si="354"/>
        <v>99.088248558451198</v>
      </c>
      <c r="J839" s="413"/>
      <c r="K839" s="401"/>
      <c r="L839" s="192"/>
    </row>
    <row r="840" spans="1:12" ht="31.5" x14ac:dyDescent="0.25">
      <c r="A840" s="396" t="s">
        <v>131</v>
      </c>
      <c r="B840" s="390">
        <v>906</v>
      </c>
      <c r="C840" s="392" t="s">
        <v>264</v>
      </c>
      <c r="D840" s="392" t="s">
        <v>219</v>
      </c>
      <c r="E840" s="392" t="s">
        <v>859</v>
      </c>
      <c r="F840" s="392" t="s">
        <v>132</v>
      </c>
      <c r="G840" s="397">
        <f>G841</f>
        <v>212</v>
      </c>
      <c r="H840" s="397">
        <f t="shared" ref="H840" si="376">H841</f>
        <v>162.90899999999999</v>
      </c>
      <c r="I840" s="397">
        <f t="shared" si="354"/>
        <v>76.843867924528297</v>
      </c>
      <c r="J840" s="413"/>
      <c r="K840" s="401"/>
      <c r="L840" s="192"/>
    </row>
    <row r="841" spans="1:12" ht="31.5" x14ac:dyDescent="0.25">
      <c r="A841" s="396" t="s">
        <v>133</v>
      </c>
      <c r="B841" s="390">
        <v>906</v>
      </c>
      <c r="C841" s="392" t="s">
        <v>264</v>
      </c>
      <c r="D841" s="392" t="s">
        <v>219</v>
      </c>
      <c r="E841" s="392" t="s">
        <v>859</v>
      </c>
      <c r="F841" s="392" t="s">
        <v>134</v>
      </c>
      <c r="G841" s="397">
        <v>212</v>
      </c>
      <c r="H841" s="397">
        <v>162.90899999999999</v>
      </c>
      <c r="I841" s="397">
        <f t="shared" si="354"/>
        <v>76.843867924528297</v>
      </c>
      <c r="J841" s="413"/>
      <c r="K841" s="401"/>
      <c r="L841" s="192"/>
    </row>
    <row r="842" spans="1:12" s="192" customFormat="1" ht="31.5" x14ac:dyDescent="0.25">
      <c r="A842" s="396" t="s">
        <v>838</v>
      </c>
      <c r="B842" s="390">
        <v>906</v>
      </c>
      <c r="C842" s="392" t="s">
        <v>264</v>
      </c>
      <c r="D842" s="392" t="s">
        <v>219</v>
      </c>
      <c r="E842" s="392" t="s">
        <v>861</v>
      </c>
      <c r="F842" s="392"/>
      <c r="G842" s="397">
        <f>G843</f>
        <v>443.15</v>
      </c>
      <c r="H842" s="397">
        <f t="shared" ref="H842:H843" si="377">H843</f>
        <v>443.13499999999999</v>
      </c>
      <c r="I842" s="397">
        <f t="shared" ref="I842:I905" si="378">H842/G842*100</f>
        <v>99.996615141599904</v>
      </c>
      <c r="J842" s="413"/>
      <c r="K842" s="401"/>
    </row>
    <row r="843" spans="1:12" s="192" customFormat="1" ht="63" x14ac:dyDescent="0.25">
      <c r="A843" s="396" t="s">
        <v>127</v>
      </c>
      <c r="B843" s="390">
        <v>906</v>
      </c>
      <c r="C843" s="392" t="s">
        <v>264</v>
      </c>
      <c r="D843" s="392" t="s">
        <v>219</v>
      </c>
      <c r="E843" s="392" t="s">
        <v>861</v>
      </c>
      <c r="F843" s="392" t="s">
        <v>128</v>
      </c>
      <c r="G843" s="397">
        <f>G844</f>
        <v>443.15</v>
      </c>
      <c r="H843" s="397">
        <f t="shared" si="377"/>
        <v>443.13499999999999</v>
      </c>
      <c r="I843" s="397">
        <f t="shared" si="378"/>
        <v>99.996615141599904</v>
      </c>
      <c r="J843" s="413"/>
      <c r="K843" s="401"/>
    </row>
    <row r="844" spans="1:12" s="192" customFormat="1" ht="31.5" x14ac:dyDescent="0.25">
      <c r="A844" s="396" t="s">
        <v>129</v>
      </c>
      <c r="B844" s="390">
        <v>906</v>
      </c>
      <c r="C844" s="392" t="s">
        <v>264</v>
      </c>
      <c r="D844" s="392" t="s">
        <v>219</v>
      </c>
      <c r="E844" s="392" t="s">
        <v>861</v>
      </c>
      <c r="F844" s="392" t="s">
        <v>130</v>
      </c>
      <c r="G844" s="397">
        <f>126+317.15</f>
        <v>443.15</v>
      </c>
      <c r="H844" s="397">
        <v>443.13499999999999</v>
      </c>
      <c r="I844" s="397">
        <f t="shared" si="378"/>
        <v>99.996615141599904</v>
      </c>
      <c r="J844" s="413"/>
      <c r="K844" s="401"/>
    </row>
    <row r="845" spans="1:12" s="192" customFormat="1" ht="31.5" x14ac:dyDescent="0.25">
      <c r="A845" s="396" t="s">
        <v>1677</v>
      </c>
      <c r="B845" s="390">
        <v>906</v>
      </c>
      <c r="C845" s="392" t="s">
        <v>264</v>
      </c>
      <c r="D845" s="392" t="s">
        <v>219</v>
      </c>
      <c r="E845" s="392" t="s">
        <v>1678</v>
      </c>
      <c r="F845" s="392"/>
      <c r="G845" s="397">
        <f>G846</f>
        <v>69.929599999999994</v>
      </c>
      <c r="H845" s="397">
        <f t="shared" ref="H845:H846" si="379">H846</f>
        <v>69.929000000000002</v>
      </c>
      <c r="I845" s="397">
        <f t="shared" si="378"/>
        <v>99.999141994234208</v>
      </c>
      <c r="J845" s="413"/>
      <c r="K845" s="401"/>
    </row>
    <row r="846" spans="1:12" s="192" customFormat="1" ht="63" x14ac:dyDescent="0.25">
      <c r="A846" s="396" t="s">
        <v>127</v>
      </c>
      <c r="B846" s="390">
        <v>906</v>
      </c>
      <c r="C846" s="392" t="s">
        <v>264</v>
      </c>
      <c r="D846" s="392" t="s">
        <v>219</v>
      </c>
      <c r="E846" s="392" t="s">
        <v>1678</v>
      </c>
      <c r="F846" s="392" t="s">
        <v>128</v>
      </c>
      <c r="G846" s="397">
        <f>G847</f>
        <v>69.929599999999994</v>
      </c>
      <c r="H846" s="397">
        <f t="shared" si="379"/>
        <v>69.929000000000002</v>
      </c>
      <c r="I846" s="397">
        <f t="shared" si="378"/>
        <v>99.999141994234208</v>
      </c>
      <c r="J846" s="413"/>
      <c r="K846" s="401"/>
    </row>
    <row r="847" spans="1:12" s="192" customFormat="1" ht="31.5" x14ac:dyDescent="0.25">
      <c r="A847" s="396" t="s">
        <v>129</v>
      </c>
      <c r="B847" s="390">
        <v>906</v>
      </c>
      <c r="C847" s="392" t="s">
        <v>264</v>
      </c>
      <c r="D847" s="392" t="s">
        <v>219</v>
      </c>
      <c r="E847" s="392" t="s">
        <v>1678</v>
      </c>
      <c r="F847" s="392" t="s">
        <v>130</v>
      </c>
      <c r="G847" s="397">
        <v>69.929599999999994</v>
      </c>
      <c r="H847" s="397">
        <v>69.929000000000002</v>
      </c>
      <c r="I847" s="397">
        <f t="shared" si="378"/>
        <v>99.999141994234208</v>
      </c>
      <c r="J847" s="413"/>
      <c r="K847" s="401"/>
    </row>
    <row r="848" spans="1:12" ht="15.75" x14ac:dyDescent="0.25">
      <c r="A848" s="394" t="s">
        <v>141</v>
      </c>
      <c r="B848" s="391">
        <v>906</v>
      </c>
      <c r="C848" s="395" t="s">
        <v>264</v>
      </c>
      <c r="D848" s="395" t="s">
        <v>219</v>
      </c>
      <c r="E848" s="395" t="s">
        <v>865</v>
      </c>
      <c r="F848" s="395"/>
      <c r="G848" s="393">
        <f>G849+G855</f>
        <v>15806.9614</v>
      </c>
      <c r="H848" s="393">
        <f>H849+H855</f>
        <v>15493.725</v>
      </c>
      <c r="I848" s="393">
        <f t="shared" si="378"/>
        <v>98.018364237923677</v>
      </c>
      <c r="J848" s="413"/>
      <c r="K848" s="401"/>
      <c r="L848" s="192"/>
    </row>
    <row r="849" spans="1:12" s="192" customFormat="1" ht="31.5" x14ac:dyDescent="0.25">
      <c r="A849" s="394" t="s">
        <v>869</v>
      </c>
      <c r="B849" s="391">
        <v>906</v>
      </c>
      <c r="C849" s="395" t="s">
        <v>264</v>
      </c>
      <c r="D849" s="395" t="s">
        <v>219</v>
      </c>
      <c r="E849" s="395" t="s">
        <v>864</v>
      </c>
      <c r="F849" s="395"/>
      <c r="G849" s="393">
        <f>G850</f>
        <v>455.5</v>
      </c>
      <c r="H849" s="393">
        <f t="shared" ref="H849" si="380">H850</f>
        <v>414.447</v>
      </c>
      <c r="I849" s="393">
        <f t="shared" si="378"/>
        <v>90.987266739846334</v>
      </c>
      <c r="J849" s="413"/>
      <c r="K849" s="401"/>
    </row>
    <row r="850" spans="1:12" ht="15.75" x14ac:dyDescent="0.25">
      <c r="A850" s="396" t="s">
        <v>478</v>
      </c>
      <c r="B850" s="390">
        <v>906</v>
      </c>
      <c r="C850" s="392" t="s">
        <v>264</v>
      </c>
      <c r="D850" s="392" t="s">
        <v>219</v>
      </c>
      <c r="E850" s="392" t="s">
        <v>943</v>
      </c>
      <c r="F850" s="392"/>
      <c r="G850" s="397">
        <f>G851+G853</f>
        <v>455.5</v>
      </c>
      <c r="H850" s="397">
        <f>H851+H853</f>
        <v>414.447</v>
      </c>
      <c r="I850" s="397">
        <f t="shared" si="378"/>
        <v>90.987266739846334</v>
      </c>
      <c r="J850" s="413"/>
      <c r="K850" s="401"/>
      <c r="L850" s="192"/>
    </row>
    <row r="851" spans="1:12" s="192" customFormat="1" ht="63" x14ac:dyDescent="0.25">
      <c r="A851" s="396" t="s">
        <v>127</v>
      </c>
      <c r="B851" s="390">
        <v>906</v>
      </c>
      <c r="C851" s="392" t="s">
        <v>264</v>
      </c>
      <c r="D851" s="392" t="s">
        <v>219</v>
      </c>
      <c r="E851" s="392" t="s">
        <v>943</v>
      </c>
      <c r="F851" s="392" t="s">
        <v>128</v>
      </c>
      <c r="G851" s="397">
        <f>G852</f>
        <v>66.509999999999991</v>
      </c>
      <c r="H851" s="397">
        <f t="shared" ref="H851" si="381">H852</f>
        <v>66.510000000000005</v>
      </c>
      <c r="I851" s="397">
        <f t="shared" si="378"/>
        <v>100.00000000000003</v>
      </c>
      <c r="J851" s="413"/>
      <c r="K851" s="401"/>
    </row>
    <row r="852" spans="1:12" s="192" customFormat="1" ht="15.75" x14ac:dyDescent="0.25">
      <c r="A852" s="396" t="s">
        <v>342</v>
      </c>
      <c r="B852" s="390">
        <v>906</v>
      </c>
      <c r="C852" s="392" t="s">
        <v>264</v>
      </c>
      <c r="D852" s="392" t="s">
        <v>219</v>
      </c>
      <c r="E852" s="392" t="s">
        <v>943</v>
      </c>
      <c r="F852" s="392" t="s">
        <v>209</v>
      </c>
      <c r="G852" s="397">
        <f>573-506.49</f>
        <v>66.509999999999991</v>
      </c>
      <c r="H852" s="397">
        <v>66.510000000000005</v>
      </c>
      <c r="I852" s="397">
        <f t="shared" si="378"/>
        <v>100.00000000000003</v>
      </c>
      <c r="J852" s="413"/>
      <c r="K852" s="401"/>
    </row>
    <row r="853" spans="1:12" ht="31.5" x14ac:dyDescent="0.25">
      <c r="A853" s="396" t="s">
        <v>131</v>
      </c>
      <c r="B853" s="390">
        <v>906</v>
      </c>
      <c r="C853" s="392" t="s">
        <v>264</v>
      </c>
      <c r="D853" s="392" t="s">
        <v>219</v>
      </c>
      <c r="E853" s="392" t="s">
        <v>943</v>
      </c>
      <c r="F853" s="392" t="s">
        <v>132</v>
      </c>
      <c r="G853" s="397">
        <f>G854</f>
        <v>388.99</v>
      </c>
      <c r="H853" s="397">
        <f t="shared" ref="H853" si="382">H854</f>
        <v>347.93700000000001</v>
      </c>
      <c r="I853" s="397">
        <f t="shared" si="378"/>
        <v>89.446258258567056</v>
      </c>
      <c r="J853" s="413"/>
      <c r="K853" s="401"/>
      <c r="L853" s="192"/>
    </row>
    <row r="854" spans="1:12" ht="31.5" x14ac:dyDescent="0.25">
      <c r="A854" s="396" t="s">
        <v>133</v>
      </c>
      <c r="B854" s="390">
        <v>906</v>
      </c>
      <c r="C854" s="392" t="s">
        <v>264</v>
      </c>
      <c r="D854" s="392" t="s">
        <v>219</v>
      </c>
      <c r="E854" s="392" t="s">
        <v>943</v>
      </c>
      <c r="F854" s="392" t="s">
        <v>134</v>
      </c>
      <c r="G854" s="397">
        <f>600-300+506.49-417.5</f>
        <v>388.99</v>
      </c>
      <c r="H854" s="397">
        <v>347.93700000000001</v>
      </c>
      <c r="I854" s="397">
        <f t="shared" si="378"/>
        <v>89.446258258567056</v>
      </c>
      <c r="J854" s="413"/>
      <c r="K854" s="401"/>
      <c r="L854" s="192"/>
    </row>
    <row r="855" spans="1:12" s="192" customFormat="1" ht="31.5" x14ac:dyDescent="0.25">
      <c r="A855" s="394" t="s">
        <v>928</v>
      </c>
      <c r="B855" s="391">
        <v>906</v>
      </c>
      <c r="C855" s="395" t="s">
        <v>264</v>
      </c>
      <c r="D855" s="395" t="s">
        <v>219</v>
      </c>
      <c r="E855" s="395" t="s">
        <v>913</v>
      </c>
      <c r="F855" s="395"/>
      <c r="G855" s="393">
        <f>G856+G863+G866</f>
        <v>15351.4614</v>
      </c>
      <c r="H855" s="393">
        <f t="shared" ref="H855" si="383">H856+H863+H866</f>
        <v>15079.278</v>
      </c>
      <c r="I855" s="393">
        <f t="shared" si="378"/>
        <v>98.226987041116487</v>
      </c>
      <c r="J855" s="413"/>
      <c r="K855" s="401"/>
    </row>
    <row r="856" spans="1:12" ht="31.5" x14ac:dyDescent="0.25">
      <c r="A856" s="396" t="s">
        <v>1084</v>
      </c>
      <c r="B856" s="390">
        <v>906</v>
      </c>
      <c r="C856" s="392" t="s">
        <v>264</v>
      </c>
      <c r="D856" s="392" t="s">
        <v>219</v>
      </c>
      <c r="E856" s="392" t="s">
        <v>914</v>
      </c>
      <c r="F856" s="392"/>
      <c r="G856" s="397">
        <f>G857+G859+G861</f>
        <v>14720.65</v>
      </c>
      <c r="H856" s="397">
        <f>H857+H859+H861</f>
        <v>14450.147000000001</v>
      </c>
      <c r="I856" s="397">
        <f t="shared" si="378"/>
        <v>98.162424892922544</v>
      </c>
      <c r="J856" s="413"/>
      <c r="K856" s="401"/>
      <c r="L856" s="192"/>
    </row>
    <row r="857" spans="1:12" ht="61.5" customHeight="1" x14ac:dyDescent="0.25">
      <c r="A857" s="396" t="s">
        <v>127</v>
      </c>
      <c r="B857" s="390">
        <v>906</v>
      </c>
      <c r="C857" s="392" t="s">
        <v>264</v>
      </c>
      <c r="D857" s="392" t="s">
        <v>219</v>
      </c>
      <c r="E857" s="392" t="s">
        <v>914</v>
      </c>
      <c r="F857" s="392" t="s">
        <v>128</v>
      </c>
      <c r="G857" s="397">
        <f>G858</f>
        <v>13257.17</v>
      </c>
      <c r="H857" s="397">
        <f t="shared" ref="H857" si="384">H858</f>
        <v>13051.762000000001</v>
      </c>
      <c r="I857" s="397">
        <f t="shared" si="378"/>
        <v>98.450589379181224</v>
      </c>
      <c r="J857" s="413"/>
      <c r="K857" s="401"/>
      <c r="L857" s="192"/>
    </row>
    <row r="858" spans="1:12" ht="15.75" x14ac:dyDescent="0.25">
      <c r="A858" s="396" t="s">
        <v>342</v>
      </c>
      <c r="B858" s="390">
        <v>906</v>
      </c>
      <c r="C858" s="392" t="s">
        <v>264</v>
      </c>
      <c r="D858" s="392" t="s">
        <v>219</v>
      </c>
      <c r="E858" s="392" t="s">
        <v>914</v>
      </c>
      <c r="F858" s="392" t="s">
        <v>209</v>
      </c>
      <c r="G858" s="27">
        <f>11885.1+12+22+6.25-12.48+965+379.3</f>
        <v>13257.17</v>
      </c>
      <c r="H858" s="27">
        <v>13051.762000000001</v>
      </c>
      <c r="I858" s="397">
        <f t="shared" si="378"/>
        <v>98.450589379181224</v>
      </c>
      <c r="J858" s="413"/>
      <c r="K858" s="401"/>
      <c r="L858" s="192"/>
    </row>
    <row r="859" spans="1:12" ht="31.5" x14ac:dyDescent="0.25">
      <c r="A859" s="396" t="s">
        <v>131</v>
      </c>
      <c r="B859" s="390">
        <v>906</v>
      </c>
      <c r="C859" s="392" t="s">
        <v>264</v>
      </c>
      <c r="D859" s="392" t="s">
        <v>219</v>
      </c>
      <c r="E859" s="392" t="s">
        <v>914</v>
      </c>
      <c r="F859" s="392" t="s">
        <v>132</v>
      </c>
      <c r="G859" s="397">
        <f>G860</f>
        <v>1448.48</v>
      </c>
      <c r="H859" s="397">
        <f t="shared" ref="H859" si="385">H860</f>
        <v>1398.385</v>
      </c>
      <c r="I859" s="397">
        <f t="shared" si="378"/>
        <v>96.541547000994143</v>
      </c>
      <c r="J859" s="413"/>
      <c r="K859" s="401"/>
      <c r="L859" s="192"/>
    </row>
    <row r="860" spans="1:12" ht="33" customHeight="1" x14ac:dyDescent="0.25">
      <c r="A860" s="396" t="s">
        <v>133</v>
      </c>
      <c r="B860" s="390">
        <v>906</v>
      </c>
      <c r="C860" s="392" t="s">
        <v>264</v>
      </c>
      <c r="D860" s="392" t="s">
        <v>219</v>
      </c>
      <c r="E860" s="392" t="s">
        <v>914</v>
      </c>
      <c r="F860" s="392" t="s">
        <v>134</v>
      </c>
      <c r="G860" s="397">
        <f>1077+43+50+12.48+128+38+100</f>
        <v>1448.48</v>
      </c>
      <c r="H860" s="397">
        <v>1398.385</v>
      </c>
      <c r="I860" s="397">
        <f t="shared" si="378"/>
        <v>96.541547000994143</v>
      </c>
      <c r="J860" s="413"/>
      <c r="K860" s="401"/>
      <c r="L860" s="192"/>
    </row>
    <row r="861" spans="1:12" ht="15.75" x14ac:dyDescent="0.25">
      <c r="A861" s="396" t="s">
        <v>135</v>
      </c>
      <c r="B861" s="478">
        <v>906</v>
      </c>
      <c r="C861" s="479" t="s">
        <v>264</v>
      </c>
      <c r="D861" s="479" t="s">
        <v>219</v>
      </c>
      <c r="E861" s="479" t="s">
        <v>914</v>
      </c>
      <c r="F861" s="479" t="s">
        <v>145</v>
      </c>
      <c r="G861" s="480">
        <f>G862</f>
        <v>15</v>
      </c>
      <c r="H861" s="480">
        <f t="shared" ref="H861" si="386">H862</f>
        <v>0</v>
      </c>
      <c r="I861" s="397">
        <f t="shared" si="378"/>
        <v>0</v>
      </c>
      <c r="J861" s="413"/>
      <c r="K861" s="401"/>
      <c r="L861" s="192"/>
    </row>
    <row r="862" spans="1:12" ht="15.75" x14ac:dyDescent="0.25">
      <c r="A862" s="396" t="s">
        <v>568</v>
      </c>
      <c r="B862" s="478">
        <v>906</v>
      </c>
      <c r="C862" s="479" t="s">
        <v>264</v>
      </c>
      <c r="D862" s="479" t="s">
        <v>219</v>
      </c>
      <c r="E862" s="479" t="s">
        <v>914</v>
      </c>
      <c r="F862" s="479" t="s">
        <v>138</v>
      </c>
      <c r="G862" s="480">
        <f>15.4-0.4</f>
        <v>15</v>
      </c>
      <c r="H862" s="480">
        <v>0</v>
      </c>
      <c r="I862" s="397">
        <f t="shared" si="378"/>
        <v>0</v>
      </c>
      <c r="J862" s="413"/>
      <c r="K862" s="401"/>
      <c r="L862" s="192"/>
    </row>
    <row r="863" spans="1:12" s="192" customFormat="1" ht="31.5" x14ac:dyDescent="0.25">
      <c r="A863" s="396" t="s">
        <v>838</v>
      </c>
      <c r="B863" s="390">
        <v>906</v>
      </c>
      <c r="C863" s="392" t="s">
        <v>264</v>
      </c>
      <c r="D863" s="392" t="s">
        <v>219</v>
      </c>
      <c r="E863" s="392" t="s">
        <v>915</v>
      </c>
      <c r="F863" s="392"/>
      <c r="G863" s="397">
        <f>G864</f>
        <v>372.75</v>
      </c>
      <c r="H863" s="397">
        <f t="shared" ref="H863:H864" si="387">H864</f>
        <v>371.07</v>
      </c>
      <c r="I863" s="397">
        <f t="shared" si="378"/>
        <v>99.549295774647888</v>
      </c>
      <c r="J863" s="413"/>
      <c r="K863" s="401"/>
    </row>
    <row r="864" spans="1:12" s="192" customFormat="1" ht="63" x14ac:dyDescent="0.25">
      <c r="A864" s="396" t="s">
        <v>127</v>
      </c>
      <c r="B864" s="390">
        <v>906</v>
      </c>
      <c r="C864" s="392" t="s">
        <v>264</v>
      </c>
      <c r="D864" s="392" t="s">
        <v>219</v>
      </c>
      <c r="E864" s="392" t="s">
        <v>915</v>
      </c>
      <c r="F864" s="392" t="s">
        <v>128</v>
      </c>
      <c r="G864" s="397">
        <f>G865</f>
        <v>372.75</v>
      </c>
      <c r="H864" s="397">
        <f t="shared" si="387"/>
        <v>371.07</v>
      </c>
      <c r="I864" s="397">
        <f t="shared" si="378"/>
        <v>99.549295774647888</v>
      </c>
      <c r="J864" s="413"/>
      <c r="K864" s="401"/>
    </row>
    <row r="865" spans="1:12" s="192" customFormat="1" ht="15.75" x14ac:dyDescent="0.25">
      <c r="A865" s="396" t="s">
        <v>342</v>
      </c>
      <c r="B865" s="390">
        <v>906</v>
      </c>
      <c r="C865" s="392" t="s">
        <v>264</v>
      </c>
      <c r="D865" s="392" t="s">
        <v>219</v>
      </c>
      <c r="E865" s="392" t="s">
        <v>915</v>
      </c>
      <c r="F865" s="392" t="s">
        <v>209</v>
      </c>
      <c r="G865" s="397">
        <f>506-12-43-22-6.25-50</f>
        <v>372.75</v>
      </c>
      <c r="H865" s="397">
        <v>371.07</v>
      </c>
      <c r="I865" s="397">
        <f t="shared" si="378"/>
        <v>99.549295774647888</v>
      </c>
      <c r="J865" s="413"/>
      <c r="K865" s="401"/>
    </row>
    <row r="866" spans="1:12" s="192" customFormat="1" ht="31.5" x14ac:dyDescent="0.25">
      <c r="A866" s="396" t="s">
        <v>1677</v>
      </c>
      <c r="B866" s="390">
        <v>906</v>
      </c>
      <c r="C866" s="392" t="s">
        <v>264</v>
      </c>
      <c r="D866" s="392" t="s">
        <v>219</v>
      </c>
      <c r="E866" s="392" t="s">
        <v>1681</v>
      </c>
      <c r="F866" s="392"/>
      <c r="G866" s="397">
        <f>G867</f>
        <v>258.06139999999999</v>
      </c>
      <c r="H866" s="397">
        <f t="shared" ref="H866:H867" si="388">H867</f>
        <v>258.06099999999998</v>
      </c>
      <c r="I866" s="397">
        <f t="shared" si="378"/>
        <v>99.999844998128353</v>
      </c>
      <c r="J866" s="413"/>
      <c r="K866" s="401"/>
    </row>
    <row r="867" spans="1:12" s="192" customFormat="1" ht="63" x14ac:dyDescent="0.25">
      <c r="A867" s="396" t="s">
        <v>127</v>
      </c>
      <c r="B867" s="390">
        <v>906</v>
      </c>
      <c r="C867" s="392" t="s">
        <v>264</v>
      </c>
      <c r="D867" s="392" t="s">
        <v>219</v>
      </c>
      <c r="E867" s="392" t="s">
        <v>1681</v>
      </c>
      <c r="F867" s="392" t="s">
        <v>128</v>
      </c>
      <c r="G867" s="397">
        <f>G868</f>
        <v>258.06139999999999</v>
      </c>
      <c r="H867" s="397">
        <f t="shared" si="388"/>
        <v>258.06099999999998</v>
      </c>
      <c r="I867" s="397">
        <f t="shared" si="378"/>
        <v>99.999844998128353</v>
      </c>
      <c r="J867" s="413"/>
      <c r="K867" s="401"/>
    </row>
    <row r="868" spans="1:12" s="192" customFormat="1" ht="15.75" x14ac:dyDescent="0.25">
      <c r="A868" s="396" t="s">
        <v>342</v>
      </c>
      <c r="B868" s="390">
        <v>906</v>
      </c>
      <c r="C868" s="392" t="s">
        <v>264</v>
      </c>
      <c r="D868" s="392" t="s">
        <v>219</v>
      </c>
      <c r="E868" s="392" t="s">
        <v>1681</v>
      </c>
      <c r="F868" s="392" t="s">
        <v>209</v>
      </c>
      <c r="G868" s="397">
        <v>258.06139999999999</v>
      </c>
      <c r="H868" s="397">
        <v>258.06099999999998</v>
      </c>
      <c r="I868" s="397">
        <f t="shared" si="378"/>
        <v>99.999844998128353</v>
      </c>
      <c r="J868" s="413"/>
      <c r="K868" s="401"/>
    </row>
    <row r="869" spans="1:12" ht="36.75" customHeight="1" x14ac:dyDescent="0.25">
      <c r="A869" s="391" t="s">
        <v>480</v>
      </c>
      <c r="B869" s="391">
        <v>907</v>
      </c>
      <c r="C869" s="392"/>
      <c r="D869" s="392"/>
      <c r="E869" s="392"/>
      <c r="F869" s="392"/>
      <c r="G869" s="393">
        <f>G877+G870</f>
        <v>70582.803799999994</v>
      </c>
      <c r="H869" s="393">
        <f t="shared" ref="H869" si="389">H877+H870</f>
        <v>70115.94</v>
      </c>
      <c r="I869" s="393">
        <f t="shared" si="378"/>
        <v>99.338558721295811</v>
      </c>
      <c r="J869" s="413"/>
      <c r="K869" s="401"/>
      <c r="L869" s="192"/>
    </row>
    <row r="870" spans="1:12" s="192" customFormat="1" ht="18.75" hidden="1" customHeight="1" x14ac:dyDescent="0.25">
      <c r="A870" s="394" t="s">
        <v>117</v>
      </c>
      <c r="B870" s="391">
        <v>907</v>
      </c>
      <c r="C870" s="395" t="s">
        <v>118</v>
      </c>
      <c r="D870" s="395"/>
      <c r="E870" s="395"/>
      <c r="F870" s="395"/>
      <c r="G870" s="393">
        <f t="shared" ref="G870:H875" si="390">G871</f>
        <v>0</v>
      </c>
      <c r="H870" s="393">
        <f t="shared" si="390"/>
        <v>0</v>
      </c>
      <c r="I870" s="393" t="e">
        <f t="shared" si="378"/>
        <v>#DIV/0!</v>
      </c>
      <c r="J870" s="413"/>
      <c r="K870" s="401"/>
    </row>
    <row r="871" spans="1:12" s="192" customFormat="1" ht="21.75" hidden="1" customHeight="1" x14ac:dyDescent="0.25">
      <c r="A871" s="34" t="s">
        <v>139</v>
      </c>
      <c r="B871" s="391">
        <v>907</v>
      </c>
      <c r="C871" s="395" t="s">
        <v>118</v>
      </c>
      <c r="D871" s="395" t="s">
        <v>140</v>
      </c>
      <c r="E871" s="395"/>
      <c r="F871" s="395"/>
      <c r="G871" s="393">
        <f t="shared" si="390"/>
        <v>0</v>
      </c>
      <c r="H871" s="393">
        <f t="shared" si="390"/>
        <v>0</v>
      </c>
      <c r="I871" s="393" t="e">
        <f t="shared" si="378"/>
        <v>#DIV/0!</v>
      </c>
      <c r="J871" s="413"/>
      <c r="K871" s="401"/>
    </row>
    <row r="872" spans="1:12" s="192" customFormat="1" ht="36.75" hidden="1" customHeight="1" x14ac:dyDescent="0.25">
      <c r="A872" s="394" t="s">
        <v>1358</v>
      </c>
      <c r="B872" s="391">
        <v>907</v>
      </c>
      <c r="C872" s="395" t="s">
        <v>118</v>
      </c>
      <c r="D872" s="395" t="s">
        <v>140</v>
      </c>
      <c r="E872" s="395" t="s">
        <v>335</v>
      </c>
      <c r="F872" s="395"/>
      <c r="G872" s="393">
        <f>G873</f>
        <v>0</v>
      </c>
      <c r="H872" s="393">
        <f t="shared" si="390"/>
        <v>0</v>
      </c>
      <c r="I872" s="393" t="e">
        <f t="shared" si="378"/>
        <v>#DIV/0!</v>
      </c>
      <c r="J872" s="413"/>
      <c r="K872" s="401"/>
    </row>
    <row r="873" spans="1:12" s="192" customFormat="1" ht="36.75" hidden="1" customHeight="1" x14ac:dyDescent="0.25">
      <c r="A873" s="197" t="s">
        <v>1050</v>
      </c>
      <c r="B873" s="391">
        <v>907</v>
      </c>
      <c r="C873" s="395" t="s">
        <v>118</v>
      </c>
      <c r="D873" s="395" t="s">
        <v>140</v>
      </c>
      <c r="E873" s="395" t="s">
        <v>1051</v>
      </c>
      <c r="F873" s="395"/>
      <c r="G873" s="393">
        <f>G874</f>
        <v>0</v>
      </c>
      <c r="H873" s="393">
        <f t="shared" si="390"/>
        <v>0</v>
      </c>
      <c r="I873" s="393" t="e">
        <f t="shared" si="378"/>
        <v>#DIV/0!</v>
      </c>
      <c r="J873" s="413"/>
      <c r="K873" s="401"/>
    </row>
    <row r="874" spans="1:12" s="192" customFormat="1" ht="29.85" hidden="1" customHeight="1" x14ac:dyDescent="0.25">
      <c r="A874" s="97" t="s">
        <v>336</v>
      </c>
      <c r="B874" s="390">
        <v>907</v>
      </c>
      <c r="C874" s="392" t="s">
        <v>118</v>
      </c>
      <c r="D874" s="392" t="s">
        <v>140</v>
      </c>
      <c r="E874" s="392" t="s">
        <v>1052</v>
      </c>
      <c r="F874" s="392"/>
      <c r="G874" s="397">
        <f>G875</f>
        <v>0</v>
      </c>
      <c r="H874" s="397">
        <f t="shared" si="390"/>
        <v>0</v>
      </c>
      <c r="I874" s="393" t="e">
        <f t="shared" si="378"/>
        <v>#DIV/0!</v>
      </c>
      <c r="J874" s="413"/>
      <c r="K874" s="401"/>
    </row>
    <row r="875" spans="1:12" s="192" customFormat="1" ht="29.85" hidden="1" customHeight="1" x14ac:dyDescent="0.25">
      <c r="A875" s="396" t="s">
        <v>131</v>
      </c>
      <c r="B875" s="390">
        <v>907</v>
      </c>
      <c r="C875" s="392" t="s">
        <v>118</v>
      </c>
      <c r="D875" s="392" t="s">
        <v>140</v>
      </c>
      <c r="E875" s="392" t="s">
        <v>1052</v>
      </c>
      <c r="F875" s="392" t="s">
        <v>132</v>
      </c>
      <c r="G875" s="397">
        <f>G876</f>
        <v>0</v>
      </c>
      <c r="H875" s="397">
        <f t="shared" si="390"/>
        <v>0</v>
      </c>
      <c r="I875" s="393" t="e">
        <f t="shared" si="378"/>
        <v>#DIV/0!</v>
      </c>
      <c r="J875" s="413"/>
      <c r="K875" s="401"/>
    </row>
    <row r="876" spans="1:12" s="192" customFormat="1" ht="36.75" hidden="1" customHeight="1" x14ac:dyDescent="0.25">
      <c r="A876" s="396" t="s">
        <v>133</v>
      </c>
      <c r="B876" s="390">
        <v>907</v>
      </c>
      <c r="C876" s="392" t="s">
        <v>118</v>
      </c>
      <c r="D876" s="392" t="s">
        <v>140</v>
      </c>
      <c r="E876" s="392" t="s">
        <v>1052</v>
      </c>
      <c r="F876" s="392" t="s">
        <v>134</v>
      </c>
      <c r="G876" s="397">
        <v>0</v>
      </c>
      <c r="H876" s="397">
        <v>0</v>
      </c>
      <c r="I876" s="393" t="e">
        <f t="shared" si="378"/>
        <v>#DIV/0!</v>
      </c>
      <c r="J876" s="413"/>
      <c r="K876" s="401"/>
    </row>
    <row r="877" spans="1:12" ht="15.75" x14ac:dyDescent="0.25">
      <c r="A877" s="394" t="s">
        <v>490</v>
      </c>
      <c r="B877" s="391">
        <v>907</v>
      </c>
      <c r="C877" s="395" t="s">
        <v>491</v>
      </c>
      <c r="D877" s="392"/>
      <c r="E877" s="392"/>
      <c r="F877" s="392"/>
      <c r="G877" s="393">
        <f>G878+G924</f>
        <v>70582.803799999994</v>
      </c>
      <c r="H877" s="393">
        <f t="shared" ref="H877" si="391">H878+H924</f>
        <v>70115.94</v>
      </c>
      <c r="I877" s="393">
        <f t="shared" si="378"/>
        <v>99.338558721295811</v>
      </c>
      <c r="J877" s="413"/>
      <c r="K877" s="401"/>
      <c r="L877" s="192"/>
    </row>
    <row r="878" spans="1:12" ht="15.75" x14ac:dyDescent="0.25">
      <c r="A878" s="394" t="s">
        <v>492</v>
      </c>
      <c r="B878" s="391">
        <v>907</v>
      </c>
      <c r="C878" s="395" t="s">
        <v>491</v>
      </c>
      <c r="D878" s="395" t="s">
        <v>118</v>
      </c>
      <c r="E878" s="392"/>
      <c r="F878" s="392"/>
      <c r="G878" s="393">
        <f>G879+G919</f>
        <v>56758.36</v>
      </c>
      <c r="H878" s="393">
        <f t="shared" ref="H878" si="392">H879+H919</f>
        <v>56683.628999999994</v>
      </c>
      <c r="I878" s="393">
        <f t="shared" si="378"/>
        <v>99.868334814466081</v>
      </c>
      <c r="J878" s="413"/>
      <c r="K878" s="401"/>
      <c r="L878" s="192"/>
    </row>
    <row r="879" spans="1:12" ht="31.5" x14ac:dyDescent="0.25">
      <c r="A879" s="394" t="s">
        <v>1359</v>
      </c>
      <c r="B879" s="391">
        <v>907</v>
      </c>
      <c r="C879" s="395" t="s">
        <v>491</v>
      </c>
      <c r="D879" s="395" t="s">
        <v>118</v>
      </c>
      <c r="E879" s="395" t="s">
        <v>482</v>
      </c>
      <c r="F879" s="395"/>
      <c r="G879" s="393">
        <f>G880+G887+G900+G907+G915+G911</f>
        <v>56216.06</v>
      </c>
      <c r="H879" s="393">
        <f t="shared" ref="H879" si="393">H880+H887+H900+H907+H915+H911</f>
        <v>56182.674999999996</v>
      </c>
      <c r="I879" s="393">
        <f t="shared" si="378"/>
        <v>99.940613056126665</v>
      </c>
      <c r="J879" s="413"/>
      <c r="K879" s="401"/>
      <c r="L879" s="192"/>
    </row>
    <row r="880" spans="1:12" ht="31.5" x14ac:dyDescent="0.25">
      <c r="A880" s="394" t="s">
        <v>936</v>
      </c>
      <c r="B880" s="391">
        <v>907</v>
      </c>
      <c r="C880" s="395" t="s">
        <v>491</v>
      </c>
      <c r="D880" s="395" t="s">
        <v>118</v>
      </c>
      <c r="E880" s="395" t="s">
        <v>1261</v>
      </c>
      <c r="F880" s="395"/>
      <c r="G880" s="393">
        <f>G881+G884</f>
        <v>47847.829999999994</v>
      </c>
      <c r="H880" s="393">
        <f t="shared" ref="H880" si="394">H881+H884</f>
        <v>47847.829999999994</v>
      </c>
      <c r="I880" s="393">
        <f t="shared" si="378"/>
        <v>100</v>
      </c>
      <c r="J880" s="413"/>
      <c r="K880" s="401"/>
      <c r="L880" s="192"/>
    </row>
    <row r="881" spans="1:12" ht="31.5" x14ac:dyDescent="0.25">
      <c r="A881" s="396" t="s">
        <v>495</v>
      </c>
      <c r="B881" s="390">
        <v>907</v>
      </c>
      <c r="C881" s="392" t="s">
        <v>491</v>
      </c>
      <c r="D881" s="392" t="s">
        <v>118</v>
      </c>
      <c r="E881" s="392" t="s">
        <v>1262</v>
      </c>
      <c r="F881" s="392"/>
      <c r="G881" s="397">
        <f>G882</f>
        <v>46925.63</v>
      </c>
      <c r="H881" s="397">
        <f t="shared" ref="H881:H882" si="395">H882</f>
        <v>46925.63</v>
      </c>
      <c r="I881" s="397">
        <f t="shared" si="378"/>
        <v>100</v>
      </c>
      <c r="J881" s="413"/>
      <c r="K881" s="401"/>
      <c r="L881" s="192"/>
    </row>
    <row r="882" spans="1:12" ht="36" customHeight="1" x14ac:dyDescent="0.25">
      <c r="A882" s="396" t="s">
        <v>272</v>
      </c>
      <c r="B882" s="390">
        <v>907</v>
      </c>
      <c r="C882" s="392" t="s">
        <v>491</v>
      </c>
      <c r="D882" s="392" t="s">
        <v>118</v>
      </c>
      <c r="E882" s="392" t="s">
        <v>1262</v>
      </c>
      <c r="F882" s="392" t="s">
        <v>273</v>
      </c>
      <c r="G882" s="397">
        <f>G883</f>
        <v>46925.63</v>
      </c>
      <c r="H882" s="397">
        <f t="shared" si="395"/>
        <v>46925.63</v>
      </c>
      <c r="I882" s="397">
        <f t="shared" si="378"/>
        <v>100</v>
      </c>
      <c r="J882" s="413"/>
      <c r="K882" s="401"/>
      <c r="L882" s="192"/>
    </row>
    <row r="883" spans="1:12" ht="15.75" x14ac:dyDescent="0.25">
      <c r="A883" s="396" t="s">
        <v>274</v>
      </c>
      <c r="B883" s="390">
        <v>907</v>
      </c>
      <c r="C883" s="392" t="s">
        <v>491</v>
      </c>
      <c r="D883" s="392" t="s">
        <v>118</v>
      </c>
      <c r="E883" s="392" t="s">
        <v>1262</v>
      </c>
      <c r="F883" s="392" t="s">
        <v>275</v>
      </c>
      <c r="G883" s="27">
        <f>47819.6+367.1+218.3-205.9-1000+500+1000+205.9+65.1+141.43-2860+102.7+458.9+112.5</f>
        <v>46925.63</v>
      </c>
      <c r="H883" s="27">
        <v>46925.63</v>
      </c>
      <c r="I883" s="397">
        <f t="shared" si="378"/>
        <v>100</v>
      </c>
      <c r="J883" s="413"/>
      <c r="K883" s="401"/>
      <c r="L883" s="192"/>
    </row>
    <row r="884" spans="1:12" s="192" customFormat="1" ht="47.25" x14ac:dyDescent="0.25">
      <c r="A884" s="396" t="s">
        <v>1660</v>
      </c>
      <c r="B884" s="390">
        <v>907</v>
      </c>
      <c r="C884" s="392" t="s">
        <v>491</v>
      </c>
      <c r="D884" s="392" t="s">
        <v>118</v>
      </c>
      <c r="E884" s="392" t="s">
        <v>1665</v>
      </c>
      <c r="F884" s="392"/>
      <c r="G884" s="27">
        <f>G885</f>
        <v>922.2</v>
      </c>
      <c r="H884" s="27">
        <f t="shared" ref="H884:H885" si="396">H885</f>
        <v>922.2</v>
      </c>
      <c r="I884" s="397">
        <f t="shared" si="378"/>
        <v>100</v>
      </c>
      <c r="J884" s="413"/>
      <c r="K884" s="401"/>
    </row>
    <row r="885" spans="1:12" s="192" customFormat="1" ht="31.5" x14ac:dyDescent="0.25">
      <c r="A885" s="396" t="s">
        <v>272</v>
      </c>
      <c r="B885" s="390">
        <v>907</v>
      </c>
      <c r="C885" s="392" t="s">
        <v>491</v>
      </c>
      <c r="D885" s="392" t="s">
        <v>118</v>
      </c>
      <c r="E885" s="392" t="s">
        <v>1665</v>
      </c>
      <c r="F885" s="392" t="s">
        <v>273</v>
      </c>
      <c r="G885" s="27">
        <f>G886</f>
        <v>922.2</v>
      </c>
      <c r="H885" s="27">
        <f t="shared" si="396"/>
        <v>922.2</v>
      </c>
      <c r="I885" s="397">
        <f t="shared" si="378"/>
        <v>100</v>
      </c>
      <c r="J885" s="413"/>
      <c r="K885" s="401"/>
    </row>
    <row r="886" spans="1:12" s="192" customFormat="1" ht="15.75" x14ac:dyDescent="0.25">
      <c r="A886" s="396" t="s">
        <v>274</v>
      </c>
      <c r="B886" s="390">
        <v>907</v>
      </c>
      <c r="C886" s="392" t="s">
        <v>491</v>
      </c>
      <c r="D886" s="392" t="s">
        <v>118</v>
      </c>
      <c r="E886" s="392" t="s">
        <v>1665</v>
      </c>
      <c r="F886" s="392" t="s">
        <v>275</v>
      </c>
      <c r="G886" s="27">
        <v>922.2</v>
      </c>
      <c r="H886" s="27">
        <v>922.2</v>
      </c>
      <c r="I886" s="397">
        <f t="shared" si="378"/>
        <v>100</v>
      </c>
      <c r="J886" s="413"/>
      <c r="K886" s="401"/>
    </row>
    <row r="887" spans="1:12" s="192" customFormat="1" ht="15.75" x14ac:dyDescent="0.25">
      <c r="A887" s="394" t="s">
        <v>944</v>
      </c>
      <c r="B887" s="391">
        <v>907</v>
      </c>
      <c r="C887" s="395" t="s">
        <v>491</v>
      </c>
      <c r="D887" s="395" t="s">
        <v>118</v>
      </c>
      <c r="E887" s="395" t="s">
        <v>1263</v>
      </c>
      <c r="F887" s="395"/>
      <c r="G887" s="44">
        <f>G888+G891+G894+G897</f>
        <v>1211.5</v>
      </c>
      <c r="H887" s="44">
        <f t="shared" ref="H887" si="397">H888+H891+H894+H897</f>
        <v>1210.472</v>
      </c>
      <c r="I887" s="393">
        <f t="shared" si="378"/>
        <v>99.915146512587711</v>
      </c>
      <c r="J887" s="413"/>
      <c r="K887" s="401"/>
    </row>
    <row r="888" spans="1:12" ht="31.7" customHeight="1" x14ac:dyDescent="0.25">
      <c r="A888" s="396" t="s">
        <v>278</v>
      </c>
      <c r="B888" s="390">
        <v>907</v>
      </c>
      <c r="C888" s="392" t="s">
        <v>491</v>
      </c>
      <c r="D888" s="392" t="s">
        <v>118</v>
      </c>
      <c r="E888" s="392" t="s">
        <v>1321</v>
      </c>
      <c r="F888" s="392"/>
      <c r="G888" s="397">
        <f>G889</f>
        <v>232.9</v>
      </c>
      <c r="H888" s="397">
        <f t="shared" ref="H888:H889" si="398">H889</f>
        <v>231.904</v>
      </c>
      <c r="I888" s="397">
        <f t="shared" si="378"/>
        <v>99.572348647488184</v>
      </c>
      <c r="J888" s="413"/>
      <c r="K888" s="401"/>
      <c r="L888" s="192"/>
    </row>
    <row r="889" spans="1:12" ht="31.7" customHeight="1" x14ac:dyDescent="0.25">
      <c r="A889" s="396" t="s">
        <v>272</v>
      </c>
      <c r="B889" s="390">
        <v>907</v>
      </c>
      <c r="C889" s="392" t="s">
        <v>491</v>
      </c>
      <c r="D889" s="392" t="s">
        <v>118</v>
      </c>
      <c r="E889" s="392" t="s">
        <v>1321</v>
      </c>
      <c r="F889" s="392" t="s">
        <v>273</v>
      </c>
      <c r="G889" s="397">
        <f>G890</f>
        <v>232.9</v>
      </c>
      <c r="H889" s="397">
        <f t="shared" si="398"/>
        <v>231.904</v>
      </c>
      <c r="I889" s="397">
        <f t="shared" si="378"/>
        <v>99.572348647488184</v>
      </c>
      <c r="J889" s="413"/>
      <c r="K889" s="401"/>
      <c r="L889" s="192"/>
    </row>
    <row r="890" spans="1:12" ht="15.6" customHeight="1" x14ac:dyDescent="0.25">
      <c r="A890" s="396" t="s">
        <v>274</v>
      </c>
      <c r="B890" s="390">
        <v>907</v>
      </c>
      <c r="C890" s="392" t="s">
        <v>491</v>
      </c>
      <c r="D890" s="392" t="s">
        <v>118</v>
      </c>
      <c r="E890" s="392" t="s">
        <v>1321</v>
      </c>
      <c r="F890" s="392" t="s">
        <v>275</v>
      </c>
      <c r="G890" s="397">
        <f>88+144.9+144.9-144.9</f>
        <v>232.9</v>
      </c>
      <c r="H890" s="397">
        <v>231.904</v>
      </c>
      <c r="I890" s="397">
        <f t="shared" si="378"/>
        <v>99.572348647488184</v>
      </c>
      <c r="J890" s="413"/>
      <c r="K890" s="401"/>
      <c r="L890" s="192"/>
    </row>
    <row r="891" spans="1:12" ht="33" customHeight="1" x14ac:dyDescent="0.25">
      <c r="A891" s="396" t="s">
        <v>280</v>
      </c>
      <c r="B891" s="390">
        <v>907</v>
      </c>
      <c r="C891" s="392" t="s">
        <v>491</v>
      </c>
      <c r="D891" s="392" t="s">
        <v>118</v>
      </c>
      <c r="E891" s="392" t="s">
        <v>1322</v>
      </c>
      <c r="F891" s="392"/>
      <c r="G891" s="397">
        <f>G892</f>
        <v>642.6</v>
      </c>
      <c r="H891" s="397">
        <f t="shared" ref="H891:H892" si="399">H892</f>
        <v>642.56799999999998</v>
      </c>
      <c r="I891" s="397">
        <f t="shared" si="378"/>
        <v>99.995020230314353</v>
      </c>
      <c r="J891" s="413"/>
      <c r="K891" s="401"/>
      <c r="L891" s="192"/>
    </row>
    <row r="892" spans="1:12" ht="37.5" customHeight="1" x14ac:dyDescent="0.25">
      <c r="A892" s="396" t="s">
        <v>272</v>
      </c>
      <c r="B892" s="390">
        <v>907</v>
      </c>
      <c r="C892" s="392" t="s">
        <v>491</v>
      </c>
      <c r="D892" s="392" t="s">
        <v>118</v>
      </c>
      <c r="E892" s="392" t="s">
        <v>1322</v>
      </c>
      <c r="F892" s="392" t="s">
        <v>273</v>
      </c>
      <c r="G892" s="397">
        <f>G893</f>
        <v>642.6</v>
      </c>
      <c r="H892" s="397">
        <f t="shared" si="399"/>
        <v>642.56799999999998</v>
      </c>
      <c r="I892" s="397">
        <f t="shared" si="378"/>
        <v>99.995020230314353</v>
      </c>
      <c r="J892" s="413"/>
      <c r="K892" s="401"/>
      <c r="L892" s="192"/>
    </row>
    <row r="893" spans="1:12" ht="15.75" customHeight="1" x14ac:dyDescent="0.25">
      <c r="A893" s="396" t="s">
        <v>274</v>
      </c>
      <c r="B893" s="390">
        <v>907</v>
      </c>
      <c r="C893" s="392" t="s">
        <v>491</v>
      </c>
      <c r="D893" s="392" t="s">
        <v>118</v>
      </c>
      <c r="E893" s="392" t="s">
        <v>1322</v>
      </c>
      <c r="F893" s="392" t="s">
        <v>275</v>
      </c>
      <c r="G893" s="397">
        <f>700-57.4</f>
        <v>642.6</v>
      </c>
      <c r="H893" s="397">
        <v>642.56799999999998</v>
      </c>
      <c r="I893" s="397">
        <f t="shared" si="378"/>
        <v>99.995020230314353</v>
      </c>
      <c r="J893" s="413"/>
      <c r="K893" s="401"/>
      <c r="L893" s="192"/>
    </row>
    <row r="894" spans="1:12" s="192" customFormat="1" ht="15.75" customHeight="1" x14ac:dyDescent="0.25">
      <c r="A894" s="396" t="s">
        <v>829</v>
      </c>
      <c r="B894" s="390">
        <v>907</v>
      </c>
      <c r="C894" s="392" t="s">
        <v>491</v>
      </c>
      <c r="D894" s="392" t="s">
        <v>118</v>
      </c>
      <c r="E894" s="392" t="s">
        <v>1264</v>
      </c>
      <c r="F894" s="392"/>
      <c r="G894" s="397">
        <f>G895</f>
        <v>36</v>
      </c>
      <c r="H894" s="397">
        <f t="shared" ref="H894:H895" si="400">H895</f>
        <v>36</v>
      </c>
      <c r="I894" s="397">
        <f t="shared" si="378"/>
        <v>100</v>
      </c>
      <c r="J894" s="413"/>
      <c r="K894" s="401"/>
    </row>
    <row r="895" spans="1:12" s="192" customFormat="1" ht="41.25" customHeight="1" x14ac:dyDescent="0.25">
      <c r="A895" s="396" t="s">
        <v>272</v>
      </c>
      <c r="B895" s="390">
        <v>907</v>
      </c>
      <c r="C895" s="392" t="s">
        <v>491</v>
      </c>
      <c r="D895" s="392" t="s">
        <v>118</v>
      </c>
      <c r="E895" s="392" t="s">
        <v>1264</v>
      </c>
      <c r="F895" s="392" t="s">
        <v>273</v>
      </c>
      <c r="G895" s="397">
        <f>G896</f>
        <v>36</v>
      </c>
      <c r="H895" s="397">
        <f t="shared" si="400"/>
        <v>36</v>
      </c>
      <c r="I895" s="397">
        <f t="shared" si="378"/>
        <v>100</v>
      </c>
      <c r="J895" s="413"/>
      <c r="K895" s="401"/>
    </row>
    <row r="896" spans="1:12" s="192" customFormat="1" ht="15.75" customHeight="1" x14ac:dyDescent="0.25">
      <c r="A896" s="396" t="s">
        <v>274</v>
      </c>
      <c r="B896" s="390">
        <v>907</v>
      </c>
      <c r="C896" s="392" t="s">
        <v>491</v>
      </c>
      <c r="D896" s="392" t="s">
        <v>118</v>
      </c>
      <c r="E896" s="392" t="s">
        <v>1264</v>
      </c>
      <c r="F896" s="392" t="s">
        <v>275</v>
      </c>
      <c r="G896" s="397">
        <v>36</v>
      </c>
      <c r="H896" s="397">
        <v>36</v>
      </c>
      <c r="I896" s="397">
        <f t="shared" si="378"/>
        <v>100</v>
      </c>
      <c r="J896" s="413"/>
      <c r="K896" s="401"/>
    </row>
    <row r="897" spans="1:12" s="192" customFormat="1" ht="33.75" customHeight="1" x14ac:dyDescent="0.25">
      <c r="A897" s="396" t="s">
        <v>287</v>
      </c>
      <c r="B897" s="390">
        <v>907</v>
      </c>
      <c r="C897" s="392" t="s">
        <v>491</v>
      </c>
      <c r="D897" s="392" t="s">
        <v>118</v>
      </c>
      <c r="E897" s="392" t="s">
        <v>1606</v>
      </c>
      <c r="F897" s="392"/>
      <c r="G897" s="397">
        <f>G899</f>
        <v>300</v>
      </c>
      <c r="H897" s="397">
        <f t="shared" ref="H897" si="401">H899</f>
        <v>300</v>
      </c>
      <c r="I897" s="397">
        <f t="shared" si="378"/>
        <v>100</v>
      </c>
      <c r="J897" s="413"/>
      <c r="K897" s="401"/>
    </row>
    <row r="898" spans="1:12" s="192" customFormat="1" ht="15.75" customHeight="1" x14ac:dyDescent="0.25">
      <c r="A898" s="396" t="s">
        <v>272</v>
      </c>
      <c r="B898" s="390">
        <v>907</v>
      </c>
      <c r="C898" s="392" t="s">
        <v>491</v>
      </c>
      <c r="D898" s="392" t="s">
        <v>118</v>
      </c>
      <c r="E898" s="392" t="s">
        <v>1606</v>
      </c>
      <c r="F898" s="392" t="s">
        <v>273</v>
      </c>
      <c r="G898" s="397">
        <f>G899</f>
        <v>300</v>
      </c>
      <c r="H898" s="397">
        <f t="shared" ref="H898" si="402">H899</f>
        <v>300</v>
      </c>
      <c r="I898" s="397">
        <f t="shared" si="378"/>
        <v>100</v>
      </c>
      <c r="J898" s="413"/>
      <c r="K898" s="401"/>
    </row>
    <row r="899" spans="1:12" s="192" customFormat="1" ht="15.75" customHeight="1" x14ac:dyDescent="0.25">
      <c r="A899" s="396" t="s">
        <v>274</v>
      </c>
      <c r="B899" s="390">
        <v>907</v>
      </c>
      <c r="C899" s="392" t="s">
        <v>491</v>
      </c>
      <c r="D899" s="392" t="s">
        <v>118</v>
      </c>
      <c r="E899" s="392" t="s">
        <v>1606</v>
      </c>
      <c r="F899" s="392" t="s">
        <v>275</v>
      </c>
      <c r="G899" s="397">
        <v>300</v>
      </c>
      <c r="H899" s="397">
        <v>300</v>
      </c>
      <c r="I899" s="397">
        <f t="shared" si="378"/>
        <v>100</v>
      </c>
      <c r="J899" s="413"/>
      <c r="K899" s="401"/>
    </row>
    <row r="900" spans="1:12" s="192" customFormat="1" ht="35.450000000000003" customHeight="1" x14ac:dyDescent="0.25">
      <c r="A900" s="394" t="s">
        <v>946</v>
      </c>
      <c r="B900" s="391">
        <v>907</v>
      </c>
      <c r="C900" s="395" t="s">
        <v>491</v>
      </c>
      <c r="D900" s="395" t="s">
        <v>118</v>
      </c>
      <c r="E900" s="395" t="s">
        <v>1265</v>
      </c>
      <c r="F900" s="395"/>
      <c r="G900" s="393">
        <f>G901+G904</f>
        <v>601.79999999999995</v>
      </c>
      <c r="H900" s="393">
        <f t="shared" ref="H900" si="403">H901+H904</f>
        <v>598.65899999999999</v>
      </c>
      <c r="I900" s="393">
        <f t="shared" si="378"/>
        <v>99.478065802592226</v>
      </c>
      <c r="J900" s="413"/>
      <c r="K900" s="401"/>
    </row>
    <row r="901" spans="1:12" ht="33.75" customHeight="1" x14ac:dyDescent="0.25">
      <c r="A901" s="396" t="s">
        <v>791</v>
      </c>
      <c r="B901" s="390">
        <v>907</v>
      </c>
      <c r="C901" s="392" t="s">
        <v>491</v>
      </c>
      <c r="D901" s="392" t="s">
        <v>118</v>
      </c>
      <c r="E901" s="392" t="s">
        <v>1303</v>
      </c>
      <c r="F901" s="392"/>
      <c r="G901" s="397">
        <f>G902</f>
        <v>74</v>
      </c>
      <c r="H901" s="397">
        <f t="shared" ref="H901:H902" si="404">H902</f>
        <v>73.72</v>
      </c>
      <c r="I901" s="397">
        <f t="shared" si="378"/>
        <v>99.621621621621628</v>
      </c>
      <c r="J901" s="413"/>
      <c r="K901" s="401"/>
      <c r="L901" s="192"/>
    </row>
    <row r="902" spans="1:12" ht="31.5" x14ac:dyDescent="0.25">
      <c r="A902" s="396" t="s">
        <v>272</v>
      </c>
      <c r="B902" s="390">
        <v>907</v>
      </c>
      <c r="C902" s="392" t="s">
        <v>491</v>
      </c>
      <c r="D902" s="392" t="s">
        <v>118</v>
      </c>
      <c r="E902" s="392" t="s">
        <v>1303</v>
      </c>
      <c r="F902" s="392" t="s">
        <v>273</v>
      </c>
      <c r="G902" s="397">
        <f>G903</f>
        <v>74</v>
      </c>
      <c r="H902" s="397">
        <f t="shared" si="404"/>
        <v>73.72</v>
      </c>
      <c r="I902" s="397">
        <f t="shared" si="378"/>
        <v>99.621621621621628</v>
      </c>
      <c r="J902" s="413"/>
      <c r="K902" s="401"/>
      <c r="L902" s="192"/>
    </row>
    <row r="903" spans="1:12" ht="15.75" customHeight="1" x14ac:dyDescent="0.25">
      <c r="A903" s="396" t="s">
        <v>274</v>
      </c>
      <c r="B903" s="390">
        <v>907</v>
      </c>
      <c r="C903" s="392" t="s">
        <v>491</v>
      </c>
      <c r="D903" s="392" t="s">
        <v>118</v>
      </c>
      <c r="E903" s="392" t="s">
        <v>1303</v>
      </c>
      <c r="F903" s="392" t="s">
        <v>275</v>
      </c>
      <c r="G903" s="397">
        <f>14.5+59.5</f>
        <v>74</v>
      </c>
      <c r="H903" s="397">
        <v>73.72</v>
      </c>
      <c r="I903" s="397">
        <f t="shared" si="378"/>
        <v>99.621621621621628</v>
      </c>
      <c r="J903" s="413"/>
      <c r="K903" s="401"/>
      <c r="L903" s="192"/>
    </row>
    <row r="904" spans="1:12" ht="34.5" customHeight="1" x14ac:dyDescent="0.25">
      <c r="A904" s="45" t="s">
        <v>764</v>
      </c>
      <c r="B904" s="390">
        <v>907</v>
      </c>
      <c r="C904" s="392" t="s">
        <v>491</v>
      </c>
      <c r="D904" s="392" t="s">
        <v>118</v>
      </c>
      <c r="E904" s="392" t="s">
        <v>1266</v>
      </c>
      <c r="F904" s="392"/>
      <c r="G904" s="397">
        <f>G905</f>
        <v>527.79999999999995</v>
      </c>
      <c r="H904" s="397">
        <f t="shared" ref="H904:H905" si="405">H905</f>
        <v>524.93899999999996</v>
      </c>
      <c r="I904" s="397">
        <f t="shared" si="378"/>
        <v>99.457938613111025</v>
      </c>
      <c r="J904" s="413"/>
      <c r="K904" s="401"/>
      <c r="L904" s="192"/>
    </row>
    <row r="905" spans="1:12" ht="33" customHeight="1" x14ac:dyDescent="0.25">
      <c r="A905" s="31" t="s">
        <v>272</v>
      </c>
      <c r="B905" s="390">
        <v>907</v>
      </c>
      <c r="C905" s="392" t="s">
        <v>491</v>
      </c>
      <c r="D905" s="392" t="s">
        <v>118</v>
      </c>
      <c r="E905" s="392" t="s">
        <v>1266</v>
      </c>
      <c r="F905" s="392" t="s">
        <v>273</v>
      </c>
      <c r="G905" s="397">
        <f>G906</f>
        <v>527.79999999999995</v>
      </c>
      <c r="H905" s="397">
        <f t="shared" si="405"/>
        <v>524.93899999999996</v>
      </c>
      <c r="I905" s="397">
        <f t="shared" si="378"/>
        <v>99.457938613111025</v>
      </c>
      <c r="J905" s="413"/>
      <c r="K905" s="401"/>
      <c r="L905" s="192"/>
    </row>
    <row r="906" spans="1:12" ht="15.75" customHeight="1" x14ac:dyDescent="0.25">
      <c r="A906" s="31" t="s">
        <v>274</v>
      </c>
      <c r="B906" s="390">
        <v>907</v>
      </c>
      <c r="C906" s="392" t="s">
        <v>491</v>
      </c>
      <c r="D906" s="392" t="s">
        <v>118</v>
      </c>
      <c r="E906" s="392" t="s">
        <v>1266</v>
      </c>
      <c r="F906" s="392" t="s">
        <v>275</v>
      </c>
      <c r="G906" s="397">
        <f>1204-144.9+144.9-74-102.7-401.5-98</f>
        <v>527.79999999999995</v>
      </c>
      <c r="H906" s="397">
        <v>524.93899999999996</v>
      </c>
      <c r="I906" s="397">
        <f t="shared" ref="I906:I969" si="406">H906/G906*100</f>
        <v>99.457938613111025</v>
      </c>
      <c r="J906" s="413"/>
      <c r="K906" s="401"/>
      <c r="L906" s="192"/>
    </row>
    <row r="907" spans="1:12" s="192" customFormat="1" ht="40.700000000000003" customHeight="1" x14ac:dyDescent="0.25">
      <c r="A907" s="394" t="s">
        <v>899</v>
      </c>
      <c r="B907" s="391">
        <v>907</v>
      </c>
      <c r="C907" s="395" t="s">
        <v>491</v>
      </c>
      <c r="D907" s="395" t="s">
        <v>118</v>
      </c>
      <c r="E907" s="395" t="s">
        <v>1267</v>
      </c>
      <c r="F907" s="395"/>
      <c r="G907" s="393">
        <f>G908</f>
        <v>763.5</v>
      </c>
      <c r="H907" s="393">
        <f t="shared" ref="H907:H909" si="407">H908</f>
        <v>734.28399999999999</v>
      </c>
      <c r="I907" s="393">
        <f t="shared" si="406"/>
        <v>96.173411918795026</v>
      </c>
      <c r="J907" s="413"/>
      <c r="K907" s="401"/>
    </row>
    <row r="908" spans="1:12" s="192" customFormat="1" ht="78.75" x14ac:dyDescent="0.25">
      <c r="A908" s="31" t="s">
        <v>464</v>
      </c>
      <c r="B908" s="390">
        <v>907</v>
      </c>
      <c r="C908" s="392" t="s">
        <v>491</v>
      </c>
      <c r="D908" s="392" t="s">
        <v>118</v>
      </c>
      <c r="E908" s="392" t="s">
        <v>1401</v>
      </c>
      <c r="F908" s="392"/>
      <c r="G908" s="397">
        <f>G909</f>
        <v>763.5</v>
      </c>
      <c r="H908" s="397">
        <f t="shared" si="407"/>
        <v>734.28399999999999</v>
      </c>
      <c r="I908" s="397">
        <f t="shared" si="406"/>
        <v>96.173411918795026</v>
      </c>
      <c r="J908" s="413"/>
      <c r="K908" s="401"/>
    </row>
    <row r="909" spans="1:12" s="192" customFormat="1" ht="31.5" x14ac:dyDescent="0.25">
      <c r="A909" s="396" t="s">
        <v>272</v>
      </c>
      <c r="B909" s="390">
        <v>907</v>
      </c>
      <c r="C909" s="392" t="s">
        <v>491</v>
      </c>
      <c r="D909" s="392" t="s">
        <v>118</v>
      </c>
      <c r="E909" s="392" t="s">
        <v>1401</v>
      </c>
      <c r="F909" s="392" t="s">
        <v>273</v>
      </c>
      <c r="G909" s="397">
        <f>G910</f>
        <v>763.5</v>
      </c>
      <c r="H909" s="397">
        <f t="shared" si="407"/>
        <v>734.28399999999999</v>
      </c>
      <c r="I909" s="397">
        <f t="shared" si="406"/>
        <v>96.173411918795026</v>
      </c>
      <c r="J909" s="413"/>
      <c r="K909" s="401"/>
    </row>
    <row r="910" spans="1:12" s="192" customFormat="1" ht="15.75" x14ac:dyDescent="0.25">
      <c r="A910" s="396" t="s">
        <v>274</v>
      </c>
      <c r="B910" s="390">
        <v>907</v>
      </c>
      <c r="C910" s="392" t="s">
        <v>491</v>
      </c>
      <c r="D910" s="392" t="s">
        <v>118</v>
      </c>
      <c r="E910" s="392" t="s">
        <v>1401</v>
      </c>
      <c r="F910" s="392" t="s">
        <v>275</v>
      </c>
      <c r="G910" s="397">
        <f>935.54-122.04-50</f>
        <v>763.5</v>
      </c>
      <c r="H910" s="397">
        <v>734.28399999999999</v>
      </c>
      <c r="I910" s="397">
        <f t="shared" si="406"/>
        <v>96.173411918795026</v>
      </c>
      <c r="J910" s="413"/>
      <c r="K910" s="401"/>
    </row>
    <row r="911" spans="1:12" s="192" customFormat="1" ht="47.25" customHeight="1" x14ac:dyDescent="0.25">
      <c r="A911" s="394" t="s">
        <v>1588</v>
      </c>
      <c r="B911" s="391">
        <v>907</v>
      </c>
      <c r="C911" s="395" t="s">
        <v>491</v>
      </c>
      <c r="D911" s="395" t="s">
        <v>118</v>
      </c>
      <c r="E911" s="395" t="s">
        <v>1586</v>
      </c>
      <c r="F911" s="395"/>
      <c r="G911" s="393">
        <f>G912</f>
        <v>5022.2</v>
      </c>
      <c r="H911" s="393">
        <f t="shared" ref="H911:H913" si="408">H912</f>
        <v>5022.2</v>
      </c>
      <c r="I911" s="393">
        <f t="shared" si="406"/>
        <v>100</v>
      </c>
      <c r="J911" s="413"/>
      <c r="K911" s="401"/>
    </row>
    <row r="912" spans="1:12" s="192" customFormat="1" ht="31.5" x14ac:dyDescent="0.25">
      <c r="A912" s="31" t="s">
        <v>1589</v>
      </c>
      <c r="B912" s="390">
        <v>907</v>
      </c>
      <c r="C912" s="392" t="s">
        <v>491</v>
      </c>
      <c r="D912" s="392" t="s">
        <v>118</v>
      </c>
      <c r="E912" s="392" t="s">
        <v>1587</v>
      </c>
      <c r="F912" s="392"/>
      <c r="G912" s="397">
        <f>G913</f>
        <v>5022.2</v>
      </c>
      <c r="H912" s="397">
        <f t="shared" si="408"/>
        <v>5022.2</v>
      </c>
      <c r="I912" s="397">
        <f t="shared" si="406"/>
        <v>100</v>
      </c>
      <c r="J912" s="413"/>
      <c r="K912" s="401"/>
    </row>
    <row r="913" spans="1:13" s="192" customFormat="1" ht="31.5" x14ac:dyDescent="0.25">
      <c r="A913" s="396" t="s">
        <v>272</v>
      </c>
      <c r="B913" s="390">
        <v>907</v>
      </c>
      <c r="C913" s="392" t="s">
        <v>491</v>
      </c>
      <c r="D913" s="392" t="s">
        <v>118</v>
      </c>
      <c r="E913" s="392" t="s">
        <v>1587</v>
      </c>
      <c r="F913" s="392" t="s">
        <v>273</v>
      </c>
      <c r="G913" s="397">
        <f>G914</f>
        <v>5022.2</v>
      </c>
      <c r="H913" s="397">
        <f t="shared" si="408"/>
        <v>5022.2</v>
      </c>
      <c r="I913" s="397">
        <f t="shared" si="406"/>
        <v>100</v>
      </c>
      <c r="J913" s="413"/>
      <c r="K913" s="401"/>
    </row>
    <row r="914" spans="1:13" s="192" customFormat="1" ht="15.75" x14ac:dyDescent="0.25">
      <c r="A914" s="396" t="s">
        <v>274</v>
      </c>
      <c r="B914" s="390">
        <v>907</v>
      </c>
      <c r="C914" s="392" t="s">
        <v>491</v>
      </c>
      <c r="D914" s="392" t="s">
        <v>118</v>
      </c>
      <c r="E914" s="392" t="s">
        <v>1587</v>
      </c>
      <c r="F914" s="392" t="s">
        <v>275</v>
      </c>
      <c r="G914" s="397">
        <f>4816.3+205.9</f>
        <v>5022.2</v>
      </c>
      <c r="H914" s="397">
        <v>5022.2</v>
      </c>
      <c r="I914" s="397">
        <f t="shared" si="406"/>
        <v>100</v>
      </c>
      <c r="J914" s="413"/>
      <c r="K914" s="401"/>
    </row>
    <row r="915" spans="1:13" s="192" customFormat="1" ht="47.25" x14ac:dyDescent="0.25">
      <c r="A915" s="394" t="s">
        <v>1329</v>
      </c>
      <c r="B915" s="391">
        <v>907</v>
      </c>
      <c r="C915" s="395" t="s">
        <v>491</v>
      </c>
      <c r="D915" s="395" t="s">
        <v>118</v>
      </c>
      <c r="E915" s="395" t="s">
        <v>1268</v>
      </c>
      <c r="F915" s="395"/>
      <c r="G915" s="393">
        <f>G916</f>
        <v>769.23</v>
      </c>
      <c r="H915" s="393">
        <f t="shared" ref="H915:H917" si="409">H916</f>
        <v>769.23</v>
      </c>
      <c r="I915" s="393">
        <f t="shared" si="406"/>
        <v>100</v>
      </c>
      <c r="J915" s="413"/>
      <c r="K915" s="401"/>
    </row>
    <row r="916" spans="1:13" s="193" customFormat="1" ht="47.25" x14ac:dyDescent="0.25">
      <c r="A916" s="396" t="s">
        <v>1191</v>
      </c>
      <c r="B916" s="390">
        <v>907</v>
      </c>
      <c r="C916" s="392" t="s">
        <v>491</v>
      </c>
      <c r="D916" s="392" t="s">
        <v>118</v>
      </c>
      <c r="E916" s="392" t="s">
        <v>1323</v>
      </c>
      <c r="F916" s="392"/>
      <c r="G916" s="397">
        <f>G917</f>
        <v>769.23</v>
      </c>
      <c r="H916" s="397">
        <f t="shared" si="409"/>
        <v>769.23</v>
      </c>
      <c r="I916" s="397">
        <f t="shared" si="406"/>
        <v>100</v>
      </c>
      <c r="J916" s="416"/>
      <c r="K916" s="127"/>
    </row>
    <row r="917" spans="1:13" s="193" customFormat="1" ht="31.5" x14ac:dyDescent="0.25">
      <c r="A917" s="396" t="s">
        <v>272</v>
      </c>
      <c r="B917" s="390">
        <v>907</v>
      </c>
      <c r="C917" s="392" t="s">
        <v>491</v>
      </c>
      <c r="D917" s="392" t="s">
        <v>118</v>
      </c>
      <c r="E917" s="392" t="s">
        <v>1323</v>
      </c>
      <c r="F917" s="392" t="s">
        <v>273</v>
      </c>
      <c r="G917" s="397">
        <f>G918</f>
        <v>769.23</v>
      </c>
      <c r="H917" s="397">
        <f t="shared" si="409"/>
        <v>769.23</v>
      </c>
      <c r="I917" s="397">
        <f t="shared" si="406"/>
        <v>100</v>
      </c>
      <c r="J917" s="416"/>
      <c r="K917" s="127"/>
    </row>
    <row r="918" spans="1:13" s="193" customFormat="1" ht="15.75" x14ac:dyDescent="0.25">
      <c r="A918" s="396" t="s">
        <v>274</v>
      </c>
      <c r="B918" s="390">
        <v>907</v>
      </c>
      <c r="C918" s="392" t="s">
        <v>491</v>
      </c>
      <c r="D918" s="392" t="s">
        <v>118</v>
      </c>
      <c r="E918" s="392" t="s">
        <v>1323</v>
      </c>
      <c r="F918" s="392" t="s">
        <v>275</v>
      </c>
      <c r="G918" s="397">
        <f>700+63+6.23</f>
        <v>769.23</v>
      </c>
      <c r="H918" s="397">
        <v>769.23</v>
      </c>
      <c r="I918" s="397">
        <f t="shared" si="406"/>
        <v>100</v>
      </c>
      <c r="J918" s="416"/>
      <c r="K918" s="127"/>
      <c r="M918" s="127"/>
    </row>
    <row r="919" spans="1:13" ht="47.25" x14ac:dyDescent="0.25">
      <c r="A919" s="400" t="s">
        <v>1340</v>
      </c>
      <c r="B919" s="391">
        <v>907</v>
      </c>
      <c r="C919" s="395" t="s">
        <v>491</v>
      </c>
      <c r="D919" s="395" t="s">
        <v>118</v>
      </c>
      <c r="E919" s="395" t="s">
        <v>705</v>
      </c>
      <c r="F919" s="403"/>
      <c r="G919" s="393">
        <f>G920</f>
        <v>542.29999999999995</v>
      </c>
      <c r="H919" s="393">
        <f t="shared" ref="H919:H922" si="410">H920</f>
        <v>500.95400000000001</v>
      </c>
      <c r="I919" s="393">
        <f t="shared" si="406"/>
        <v>92.375806749031909</v>
      </c>
      <c r="J919" s="413"/>
      <c r="K919" s="401"/>
      <c r="L919" s="192"/>
    </row>
    <row r="920" spans="1:13" s="192" customFormat="1" ht="47.25" x14ac:dyDescent="0.25">
      <c r="A920" s="400" t="s">
        <v>889</v>
      </c>
      <c r="B920" s="391">
        <v>907</v>
      </c>
      <c r="C920" s="395" t="s">
        <v>491</v>
      </c>
      <c r="D920" s="395" t="s">
        <v>118</v>
      </c>
      <c r="E920" s="395" t="s">
        <v>887</v>
      </c>
      <c r="F920" s="403"/>
      <c r="G920" s="393">
        <f>G921</f>
        <v>542.29999999999995</v>
      </c>
      <c r="H920" s="393">
        <f t="shared" si="410"/>
        <v>500.95400000000001</v>
      </c>
      <c r="I920" s="393">
        <f t="shared" si="406"/>
        <v>92.375806749031909</v>
      </c>
      <c r="J920" s="413"/>
      <c r="K920" s="401"/>
    </row>
    <row r="921" spans="1:13" ht="39.200000000000003" customHeight="1" x14ac:dyDescent="0.25">
      <c r="A921" s="98" t="s">
        <v>780</v>
      </c>
      <c r="B921" s="390">
        <v>907</v>
      </c>
      <c r="C921" s="392" t="s">
        <v>491</v>
      </c>
      <c r="D921" s="392" t="s">
        <v>118</v>
      </c>
      <c r="E921" s="392" t="s">
        <v>935</v>
      </c>
      <c r="F921" s="398"/>
      <c r="G921" s="397">
        <f>G922</f>
        <v>542.29999999999995</v>
      </c>
      <c r="H921" s="397">
        <f t="shared" si="410"/>
        <v>500.95400000000001</v>
      </c>
      <c r="I921" s="397">
        <f t="shared" si="406"/>
        <v>92.375806749031909</v>
      </c>
      <c r="J921" s="413"/>
      <c r="K921" s="401"/>
      <c r="L921" s="192"/>
    </row>
    <row r="922" spans="1:13" ht="31.5" x14ac:dyDescent="0.25">
      <c r="A922" s="29" t="s">
        <v>272</v>
      </c>
      <c r="B922" s="390">
        <v>907</v>
      </c>
      <c r="C922" s="392" t="s">
        <v>491</v>
      </c>
      <c r="D922" s="392" t="s">
        <v>118</v>
      </c>
      <c r="E922" s="392" t="s">
        <v>935</v>
      </c>
      <c r="F922" s="398" t="s">
        <v>273</v>
      </c>
      <c r="G922" s="397">
        <f>G923</f>
        <v>542.29999999999995</v>
      </c>
      <c r="H922" s="397">
        <f t="shared" si="410"/>
        <v>500.95400000000001</v>
      </c>
      <c r="I922" s="397">
        <f t="shared" si="406"/>
        <v>92.375806749031909</v>
      </c>
      <c r="J922" s="413"/>
      <c r="K922" s="401"/>
      <c r="L922" s="192"/>
    </row>
    <row r="923" spans="1:13" ht="15.75" x14ac:dyDescent="0.25">
      <c r="A923" s="180" t="s">
        <v>274</v>
      </c>
      <c r="B923" s="390">
        <v>907</v>
      </c>
      <c r="C923" s="392" t="s">
        <v>491</v>
      </c>
      <c r="D923" s="392" t="s">
        <v>118</v>
      </c>
      <c r="E923" s="392" t="s">
        <v>935</v>
      </c>
      <c r="F923" s="398" t="s">
        <v>275</v>
      </c>
      <c r="G923" s="397">
        <f>556.8-14.5</f>
        <v>542.29999999999995</v>
      </c>
      <c r="H923" s="397">
        <v>500.95400000000001</v>
      </c>
      <c r="I923" s="397">
        <f t="shared" si="406"/>
        <v>92.375806749031909</v>
      </c>
      <c r="J923" s="413"/>
      <c r="K923" s="401"/>
      <c r="L923" s="192"/>
    </row>
    <row r="924" spans="1:13" ht="19.5" customHeight="1" x14ac:dyDescent="0.25">
      <c r="A924" s="394" t="s">
        <v>500</v>
      </c>
      <c r="B924" s="391">
        <v>907</v>
      </c>
      <c r="C924" s="395" t="s">
        <v>491</v>
      </c>
      <c r="D924" s="395" t="s">
        <v>234</v>
      </c>
      <c r="E924" s="395"/>
      <c r="F924" s="395"/>
      <c r="G924" s="393">
        <f>G925+G936+G951</f>
        <v>13824.443800000001</v>
      </c>
      <c r="H924" s="393">
        <f t="shared" ref="H924" si="411">H925+H936+H951</f>
        <v>13432.311000000002</v>
      </c>
      <c r="I924" s="393">
        <f t="shared" si="406"/>
        <v>97.163482266100289</v>
      </c>
      <c r="J924" s="413"/>
      <c r="K924" s="401"/>
      <c r="L924" s="192"/>
    </row>
    <row r="925" spans="1:13" ht="31.5" x14ac:dyDescent="0.25">
      <c r="A925" s="394" t="s">
        <v>916</v>
      </c>
      <c r="B925" s="391">
        <v>907</v>
      </c>
      <c r="C925" s="395" t="s">
        <v>491</v>
      </c>
      <c r="D925" s="395" t="s">
        <v>234</v>
      </c>
      <c r="E925" s="395" t="s">
        <v>857</v>
      </c>
      <c r="F925" s="395"/>
      <c r="G925" s="393">
        <f>G926</f>
        <v>5171.1103000000003</v>
      </c>
      <c r="H925" s="393">
        <f t="shared" ref="H925" si="412">H926</f>
        <v>5157.7650000000003</v>
      </c>
      <c r="I925" s="393">
        <f t="shared" si="406"/>
        <v>99.741925829739117</v>
      </c>
      <c r="J925" s="413"/>
      <c r="K925" s="401"/>
      <c r="L925" s="192"/>
    </row>
    <row r="926" spans="1:13" ht="15.75" x14ac:dyDescent="0.25">
      <c r="A926" s="394" t="s">
        <v>917</v>
      </c>
      <c r="B926" s="391">
        <v>907</v>
      </c>
      <c r="C926" s="395" t="s">
        <v>491</v>
      </c>
      <c r="D926" s="395" t="s">
        <v>234</v>
      </c>
      <c r="E926" s="395" t="s">
        <v>858</v>
      </c>
      <c r="F926" s="395"/>
      <c r="G926" s="393">
        <f>G927+G930+G933</f>
        <v>5171.1103000000003</v>
      </c>
      <c r="H926" s="393">
        <f t="shared" ref="H926" si="413">H927+H930+H933</f>
        <v>5157.7650000000003</v>
      </c>
      <c r="I926" s="393">
        <f t="shared" si="406"/>
        <v>99.741925829739117</v>
      </c>
      <c r="J926" s="413"/>
      <c r="K926" s="401"/>
      <c r="L926" s="192"/>
    </row>
    <row r="927" spans="1:13" ht="28.15" customHeight="1" x14ac:dyDescent="0.25">
      <c r="A927" s="396" t="s">
        <v>896</v>
      </c>
      <c r="B927" s="390">
        <v>907</v>
      </c>
      <c r="C927" s="392" t="s">
        <v>491</v>
      </c>
      <c r="D927" s="392" t="s">
        <v>234</v>
      </c>
      <c r="E927" s="392" t="s">
        <v>859</v>
      </c>
      <c r="F927" s="392"/>
      <c r="G927" s="397">
        <f>G928</f>
        <v>5047.05</v>
      </c>
      <c r="H927" s="397">
        <f t="shared" ref="H927:H928" si="414">H928</f>
        <v>5040.78</v>
      </c>
      <c r="I927" s="397">
        <f t="shared" si="406"/>
        <v>99.875769013582186</v>
      </c>
      <c r="J927" s="413"/>
      <c r="K927" s="401"/>
      <c r="L927" s="192"/>
    </row>
    <row r="928" spans="1:13" ht="64.5" customHeight="1" x14ac:dyDescent="0.25">
      <c r="A928" s="396" t="s">
        <v>127</v>
      </c>
      <c r="B928" s="390">
        <v>907</v>
      </c>
      <c r="C928" s="392" t="s">
        <v>491</v>
      </c>
      <c r="D928" s="392" t="s">
        <v>234</v>
      </c>
      <c r="E928" s="392" t="s">
        <v>859</v>
      </c>
      <c r="F928" s="392" t="s">
        <v>128</v>
      </c>
      <c r="G928" s="397">
        <f>G929</f>
        <v>5047.05</v>
      </c>
      <c r="H928" s="397">
        <f t="shared" si="414"/>
        <v>5040.78</v>
      </c>
      <c r="I928" s="397">
        <f t="shared" si="406"/>
        <v>99.875769013582186</v>
      </c>
      <c r="J928" s="413"/>
      <c r="K928" s="401"/>
      <c r="L928" s="192"/>
    </row>
    <row r="929" spans="1:12" ht="31.5" x14ac:dyDescent="0.25">
      <c r="A929" s="396" t="s">
        <v>129</v>
      </c>
      <c r="B929" s="390">
        <v>907</v>
      </c>
      <c r="C929" s="392" t="s">
        <v>491</v>
      </c>
      <c r="D929" s="392" t="s">
        <v>234</v>
      </c>
      <c r="E929" s="392" t="s">
        <v>859</v>
      </c>
      <c r="F929" s="392" t="s">
        <v>130</v>
      </c>
      <c r="G929" s="27">
        <f>4888.5+6+52+34.85+10+53+2.7</f>
        <v>5047.05</v>
      </c>
      <c r="H929" s="27">
        <v>5040.78</v>
      </c>
      <c r="I929" s="397">
        <f t="shared" si="406"/>
        <v>99.875769013582186</v>
      </c>
      <c r="J929" s="413"/>
      <c r="K929" s="401"/>
      <c r="L929" s="192"/>
    </row>
    <row r="930" spans="1:12" s="192" customFormat="1" ht="36.75" customHeight="1" x14ac:dyDescent="0.25">
      <c r="A930" s="396" t="s">
        <v>838</v>
      </c>
      <c r="B930" s="390">
        <v>907</v>
      </c>
      <c r="C930" s="392" t="s">
        <v>491</v>
      </c>
      <c r="D930" s="392" t="s">
        <v>234</v>
      </c>
      <c r="E930" s="392" t="s">
        <v>861</v>
      </c>
      <c r="F930" s="392"/>
      <c r="G930" s="397">
        <f>G931</f>
        <v>21.250000000000014</v>
      </c>
      <c r="H930" s="397">
        <f t="shared" ref="H930:H931" si="415">H931</f>
        <v>14.175000000000001</v>
      </c>
      <c r="I930" s="397">
        <f t="shared" si="406"/>
        <v>66.705882352941131</v>
      </c>
      <c r="J930" s="413"/>
      <c r="K930" s="401"/>
    </row>
    <row r="931" spans="1:12" s="192" customFormat="1" ht="47.25" customHeight="1" x14ac:dyDescent="0.25">
      <c r="A931" s="396" t="s">
        <v>127</v>
      </c>
      <c r="B931" s="390">
        <v>907</v>
      </c>
      <c r="C931" s="392" t="s">
        <v>491</v>
      </c>
      <c r="D931" s="392" t="s">
        <v>234</v>
      </c>
      <c r="E931" s="392" t="s">
        <v>861</v>
      </c>
      <c r="F931" s="392" t="s">
        <v>128</v>
      </c>
      <c r="G931" s="397">
        <f>G932</f>
        <v>21.250000000000014</v>
      </c>
      <c r="H931" s="397">
        <f t="shared" si="415"/>
        <v>14.175000000000001</v>
      </c>
      <c r="I931" s="397">
        <f t="shared" si="406"/>
        <v>66.705882352941131</v>
      </c>
      <c r="J931" s="413"/>
      <c r="K931" s="401"/>
    </row>
    <row r="932" spans="1:12" s="192" customFormat="1" ht="34.5" customHeight="1" x14ac:dyDescent="0.25">
      <c r="A932" s="396" t="s">
        <v>129</v>
      </c>
      <c r="B932" s="390">
        <v>907</v>
      </c>
      <c r="C932" s="392" t="s">
        <v>491</v>
      </c>
      <c r="D932" s="392" t="s">
        <v>234</v>
      </c>
      <c r="E932" s="392" t="s">
        <v>861</v>
      </c>
      <c r="F932" s="392" t="s">
        <v>130</v>
      </c>
      <c r="G932" s="397">
        <f>84+252-52-16-34.85-10-166.1-35.8</f>
        <v>21.250000000000014</v>
      </c>
      <c r="H932" s="397">
        <v>14.175000000000001</v>
      </c>
      <c r="I932" s="397">
        <f t="shared" si="406"/>
        <v>66.705882352941131</v>
      </c>
      <c r="J932" s="413"/>
      <c r="K932" s="401"/>
    </row>
    <row r="933" spans="1:12" s="192" customFormat="1" ht="34.5" customHeight="1" x14ac:dyDescent="0.25">
      <c r="A933" s="396" t="s">
        <v>1677</v>
      </c>
      <c r="B933" s="390">
        <v>907</v>
      </c>
      <c r="C933" s="392" t="s">
        <v>491</v>
      </c>
      <c r="D933" s="392" t="s">
        <v>234</v>
      </c>
      <c r="E933" s="392" t="s">
        <v>1678</v>
      </c>
      <c r="F933" s="392"/>
      <c r="G933" s="397">
        <f>G934</f>
        <v>102.8103</v>
      </c>
      <c r="H933" s="397">
        <f t="shared" ref="H933:H934" si="416">H934</f>
        <v>102.81</v>
      </c>
      <c r="I933" s="397">
        <f t="shared" si="406"/>
        <v>99.999708200442967</v>
      </c>
      <c r="J933" s="413"/>
      <c r="K933" s="401"/>
    </row>
    <row r="934" spans="1:12" s="192" customFormat="1" ht="72" customHeight="1" x14ac:dyDescent="0.25">
      <c r="A934" s="396" t="s">
        <v>127</v>
      </c>
      <c r="B934" s="390">
        <v>907</v>
      </c>
      <c r="C934" s="392" t="s">
        <v>491</v>
      </c>
      <c r="D934" s="392" t="s">
        <v>234</v>
      </c>
      <c r="E934" s="392" t="s">
        <v>1678</v>
      </c>
      <c r="F934" s="392" t="s">
        <v>128</v>
      </c>
      <c r="G934" s="397">
        <f>G935</f>
        <v>102.8103</v>
      </c>
      <c r="H934" s="397">
        <f t="shared" si="416"/>
        <v>102.81</v>
      </c>
      <c r="I934" s="397">
        <f t="shared" si="406"/>
        <v>99.999708200442967</v>
      </c>
      <c r="J934" s="413"/>
      <c r="K934" s="401"/>
    </row>
    <row r="935" spans="1:12" s="192" customFormat="1" ht="31.5" x14ac:dyDescent="0.25">
      <c r="A935" s="396" t="s">
        <v>129</v>
      </c>
      <c r="B935" s="390">
        <v>907</v>
      </c>
      <c r="C935" s="392" t="s">
        <v>491</v>
      </c>
      <c r="D935" s="392" t="s">
        <v>234</v>
      </c>
      <c r="E935" s="392" t="s">
        <v>1678</v>
      </c>
      <c r="F935" s="392" t="s">
        <v>130</v>
      </c>
      <c r="G935" s="397">
        <v>102.8103</v>
      </c>
      <c r="H935" s="397">
        <v>102.81</v>
      </c>
      <c r="I935" s="397">
        <f t="shared" si="406"/>
        <v>99.999708200442967</v>
      </c>
      <c r="J935" s="413"/>
      <c r="K935" s="401"/>
    </row>
    <row r="936" spans="1:12" ht="15.75" x14ac:dyDescent="0.25">
      <c r="A936" s="394" t="s">
        <v>141</v>
      </c>
      <c r="B936" s="391">
        <v>907</v>
      </c>
      <c r="C936" s="395" t="s">
        <v>491</v>
      </c>
      <c r="D936" s="395" t="s">
        <v>234</v>
      </c>
      <c r="E936" s="395" t="s">
        <v>865</v>
      </c>
      <c r="F936" s="395"/>
      <c r="G936" s="393">
        <f>G937</f>
        <v>6171.6334999999999</v>
      </c>
      <c r="H936" s="393">
        <f t="shared" ref="H936" si="417">H937</f>
        <v>6023.7020000000002</v>
      </c>
      <c r="I936" s="393">
        <f t="shared" si="406"/>
        <v>97.603041399007253</v>
      </c>
      <c r="J936" s="413"/>
      <c r="K936" s="401"/>
      <c r="L936" s="192"/>
    </row>
    <row r="937" spans="1:12" s="192" customFormat="1" ht="31.5" x14ac:dyDescent="0.25">
      <c r="A937" s="394" t="s">
        <v>928</v>
      </c>
      <c r="B937" s="391">
        <v>907</v>
      </c>
      <c r="C937" s="395" t="s">
        <v>491</v>
      </c>
      <c r="D937" s="395" t="s">
        <v>234</v>
      </c>
      <c r="E937" s="395" t="s">
        <v>913</v>
      </c>
      <c r="F937" s="395"/>
      <c r="G937" s="393">
        <f>G938+G945+G948</f>
        <v>6171.6334999999999</v>
      </c>
      <c r="H937" s="393">
        <f t="shared" ref="H937" si="418">H938+H945+H948</f>
        <v>6023.7020000000002</v>
      </c>
      <c r="I937" s="393">
        <f t="shared" si="406"/>
        <v>97.603041399007253</v>
      </c>
      <c r="J937" s="413"/>
      <c r="K937" s="401"/>
    </row>
    <row r="938" spans="1:12" ht="31.5" x14ac:dyDescent="0.25">
      <c r="A938" s="396" t="s">
        <v>902</v>
      </c>
      <c r="B938" s="390">
        <v>907</v>
      </c>
      <c r="C938" s="392" t="s">
        <v>491</v>
      </c>
      <c r="D938" s="392" t="s">
        <v>234</v>
      </c>
      <c r="E938" s="392" t="s">
        <v>914</v>
      </c>
      <c r="F938" s="392"/>
      <c r="G938" s="397">
        <f>G939+G941+G943</f>
        <v>5843.6139999999996</v>
      </c>
      <c r="H938" s="397">
        <f t="shared" ref="H938" si="419">H939+H941+H943</f>
        <v>5695.933</v>
      </c>
      <c r="I938" s="397">
        <f t="shared" si="406"/>
        <v>97.472779687364707</v>
      </c>
      <c r="J938" s="413"/>
      <c r="K938" s="401"/>
      <c r="L938" s="192"/>
    </row>
    <row r="939" spans="1:12" ht="72.75" customHeight="1" x14ac:dyDescent="0.25">
      <c r="A939" s="396" t="s">
        <v>127</v>
      </c>
      <c r="B939" s="390">
        <v>907</v>
      </c>
      <c r="C939" s="392" t="s">
        <v>491</v>
      </c>
      <c r="D939" s="392" t="s">
        <v>234</v>
      </c>
      <c r="E939" s="392" t="s">
        <v>914</v>
      </c>
      <c r="F939" s="392" t="s">
        <v>128</v>
      </c>
      <c r="G939" s="397">
        <f>G940</f>
        <v>5465.8</v>
      </c>
      <c r="H939" s="397">
        <f t="shared" ref="H939" si="420">H940</f>
        <v>5390.9920000000002</v>
      </c>
      <c r="I939" s="397">
        <f t="shared" si="406"/>
        <v>98.631343993559952</v>
      </c>
      <c r="J939" s="413"/>
      <c r="K939" s="401"/>
      <c r="L939" s="192"/>
    </row>
    <row r="940" spans="1:12" ht="25.5" customHeight="1" x14ac:dyDescent="0.25">
      <c r="A940" s="396" t="s">
        <v>342</v>
      </c>
      <c r="B940" s="390">
        <v>907</v>
      </c>
      <c r="C940" s="392" t="s">
        <v>491</v>
      </c>
      <c r="D940" s="392" t="s">
        <v>234</v>
      </c>
      <c r="E940" s="392" t="s">
        <v>914</v>
      </c>
      <c r="F940" s="392" t="s">
        <v>209</v>
      </c>
      <c r="G940" s="27">
        <f>4695.4-6+483.7+146.5+19.6+93.5+35.8-2.7</f>
        <v>5465.8</v>
      </c>
      <c r="H940" s="27">
        <v>5390.9920000000002</v>
      </c>
      <c r="I940" s="397">
        <f t="shared" si="406"/>
        <v>98.631343993559952</v>
      </c>
      <c r="J940" s="413"/>
      <c r="K940" s="401"/>
      <c r="L940" s="192"/>
    </row>
    <row r="941" spans="1:12" ht="31.5" x14ac:dyDescent="0.25">
      <c r="A941" s="396" t="s">
        <v>131</v>
      </c>
      <c r="B941" s="390">
        <v>907</v>
      </c>
      <c r="C941" s="392" t="s">
        <v>491</v>
      </c>
      <c r="D941" s="392" t="s">
        <v>234</v>
      </c>
      <c r="E941" s="392" t="s">
        <v>914</v>
      </c>
      <c r="F941" s="392" t="s">
        <v>132</v>
      </c>
      <c r="G941" s="397">
        <f>G942</f>
        <v>350.66400000000004</v>
      </c>
      <c r="H941" s="397">
        <f t="shared" ref="H941" si="421">H942</f>
        <v>302.44200000000001</v>
      </c>
      <c r="I941" s="397">
        <f t="shared" si="406"/>
        <v>86.248374512353692</v>
      </c>
      <c r="J941" s="413"/>
      <c r="K941" s="401"/>
      <c r="L941" s="192"/>
    </row>
    <row r="942" spans="1:12" ht="31.5" x14ac:dyDescent="0.25">
      <c r="A942" s="396" t="s">
        <v>133</v>
      </c>
      <c r="B942" s="390">
        <v>907</v>
      </c>
      <c r="C942" s="392" t="s">
        <v>491</v>
      </c>
      <c r="D942" s="392" t="s">
        <v>234</v>
      </c>
      <c r="E942" s="392" t="s">
        <v>914</v>
      </c>
      <c r="F942" s="392" t="s">
        <v>134</v>
      </c>
      <c r="G942" s="27">
        <f>343.3-16.486+23.85</f>
        <v>350.66400000000004</v>
      </c>
      <c r="H942" s="27">
        <v>302.44200000000001</v>
      </c>
      <c r="I942" s="397">
        <f t="shared" si="406"/>
        <v>86.248374512353692</v>
      </c>
      <c r="J942" s="413"/>
      <c r="K942" s="401"/>
      <c r="L942" s="192"/>
    </row>
    <row r="943" spans="1:12" ht="15.75" x14ac:dyDescent="0.25">
      <c r="A943" s="396" t="s">
        <v>135</v>
      </c>
      <c r="B943" s="390">
        <v>907</v>
      </c>
      <c r="C943" s="392" t="s">
        <v>491</v>
      </c>
      <c r="D943" s="392" t="s">
        <v>234</v>
      </c>
      <c r="E943" s="392" t="s">
        <v>914</v>
      </c>
      <c r="F943" s="392" t="s">
        <v>145</v>
      </c>
      <c r="G943" s="397">
        <f>G944</f>
        <v>27.15</v>
      </c>
      <c r="H943" s="397">
        <f t="shared" ref="H943" si="422">H944</f>
        <v>2.4990000000000001</v>
      </c>
      <c r="I943" s="397">
        <f t="shared" si="406"/>
        <v>9.2044198895027627</v>
      </c>
      <c r="J943" s="413"/>
      <c r="K943" s="401"/>
      <c r="L943" s="192"/>
    </row>
    <row r="944" spans="1:12" ht="15.75" x14ac:dyDescent="0.25">
      <c r="A944" s="396" t="s">
        <v>568</v>
      </c>
      <c r="B944" s="390">
        <v>907</v>
      </c>
      <c r="C944" s="392" t="s">
        <v>491</v>
      </c>
      <c r="D944" s="392" t="s">
        <v>234</v>
      </c>
      <c r="E944" s="392" t="s">
        <v>914</v>
      </c>
      <c r="F944" s="392" t="s">
        <v>138</v>
      </c>
      <c r="G944" s="397">
        <f>27.1+24.1-0.2-23.85</f>
        <v>27.15</v>
      </c>
      <c r="H944" s="397">
        <v>2.4990000000000001</v>
      </c>
      <c r="I944" s="397">
        <f t="shared" si="406"/>
        <v>9.2044198895027627</v>
      </c>
      <c r="J944" s="413"/>
      <c r="K944" s="401"/>
      <c r="L944" s="192"/>
    </row>
    <row r="945" spans="1:12" s="192" customFormat="1" ht="31.5" x14ac:dyDescent="0.25">
      <c r="A945" s="396" t="s">
        <v>838</v>
      </c>
      <c r="B945" s="390">
        <v>907</v>
      </c>
      <c r="C945" s="392" t="s">
        <v>491</v>
      </c>
      <c r="D945" s="392" t="s">
        <v>234</v>
      </c>
      <c r="E945" s="392" t="s">
        <v>915</v>
      </c>
      <c r="F945" s="392"/>
      <c r="G945" s="397">
        <f>G946</f>
        <v>247.48599999999999</v>
      </c>
      <c r="H945" s="397">
        <f t="shared" ref="H945:H946" si="423">H946</f>
        <v>247.23599999999999</v>
      </c>
      <c r="I945" s="397">
        <f t="shared" si="406"/>
        <v>99.898984184964007</v>
      </c>
      <c r="J945" s="413"/>
      <c r="K945" s="401"/>
    </row>
    <row r="946" spans="1:12" s="192" customFormat="1" ht="63" x14ac:dyDescent="0.25">
      <c r="A946" s="396" t="s">
        <v>127</v>
      </c>
      <c r="B946" s="390">
        <v>907</v>
      </c>
      <c r="C946" s="392" t="s">
        <v>491</v>
      </c>
      <c r="D946" s="392" t="s">
        <v>234</v>
      </c>
      <c r="E946" s="392" t="s">
        <v>915</v>
      </c>
      <c r="F946" s="392" t="s">
        <v>128</v>
      </c>
      <c r="G946" s="397">
        <f>G947</f>
        <v>247.48599999999999</v>
      </c>
      <c r="H946" s="397">
        <f t="shared" si="423"/>
        <v>247.23599999999999</v>
      </c>
      <c r="I946" s="397">
        <f t="shared" si="406"/>
        <v>99.898984184964007</v>
      </c>
      <c r="J946" s="413"/>
      <c r="K946" s="401"/>
    </row>
    <row r="947" spans="1:12" s="192" customFormat="1" ht="15.75" x14ac:dyDescent="0.25">
      <c r="A947" s="396" t="s">
        <v>342</v>
      </c>
      <c r="B947" s="390">
        <v>907</v>
      </c>
      <c r="C947" s="392" t="s">
        <v>491</v>
      </c>
      <c r="D947" s="392" t="s">
        <v>234</v>
      </c>
      <c r="E947" s="392" t="s">
        <v>915</v>
      </c>
      <c r="F947" s="392" t="s">
        <v>209</v>
      </c>
      <c r="G947" s="397">
        <f>215+16.486+16</f>
        <v>247.48599999999999</v>
      </c>
      <c r="H947" s="397">
        <v>247.23599999999999</v>
      </c>
      <c r="I947" s="397">
        <f t="shared" si="406"/>
        <v>99.898984184964007</v>
      </c>
      <c r="J947" s="413"/>
      <c r="K947" s="401"/>
    </row>
    <row r="948" spans="1:12" s="192" customFormat="1" ht="31.5" x14ac:dyDescent="0.25">
      <c r="A948" s="396" t="s">
        <v>1677</v>
      </c>
      <c r="B948" s="390">
        <v>907</v>
      </c>
      <c r="C948" s="392" t="s">
        <v>491</v>
      </c>
      <c r="D948" s="392" t="s">
        <v>234</v>
      </c>
      <c r="E948" s="392" t="s">
        <v>1681</v>
      </c>
      <c r="F948" s="392"/>
      <c r="G948" s="397">
        <f>G949</f>
        <v>80.533500000000004</v>
      </c>
      <c r="H948" s="397">
        <f t="shared" ref="H948:H949" si="424">H949</f>
        <v>80.533000000000001</v>
      </c>
      <c r="I948" s="397">
        <f t="shared" si="406"/>
        <v>99.999379140357732</v>
      </c>
      <c r="J948" s="413"/>
      <c r="K948" s="401"/>
    </row>
    <row r="949" spans="1:12" s="192" customFormat="1" ht="63" x14ac:dyDescent="0.25">
      <c r="A949" s="396" t="s">
        <v>127</v>
      </c>
      <c r="B949" s="390">
        <v>907</v>
      </c>
      <c r="C949" s="392" t="s">
        <v>491</v>
      </c>
      <c r="D949" s="392" t="s">
        <v>234</v>
      </c>
      <c r="E949" s="392" t="s">
        <v>1681</v>
      </c>
      <c r="F949" s="392" t="s">
        <v>128</v>
      </c>
      <c r="G949" s="397">
        <f>G950</f>
        <v>80.533500000000004</v>
      </c>
      <c r="H949" s="397">
        <f t="shared" si="424"/>
        <v>80.533000000000001</v>
      </c>
      <c r="I949" s="397">
        <f t="shared" si="406"/>
        <v>99.999379140357732</v>
      </c>
      <c r="J949" s="413"/>
      <c r="K949" s="401"/>
    </row>
    <row r="950" spans="1:12" s="192" customFormat="1" ht="15.75" x14ac:dyDescent="0.25">
      <c r="A950" s="396" t="s">
        <v>342</v>
      </c>
      <c r="B950" s="390">
        <v>907</v>
      </c>
      <c r="C950" s="392" t="s">
        <v>491</v>
      </c>
      <c r="D950" s="392" t="s">
        <v>234</v>
      </c>
      <c r="E950" s="392" t="s">
        <v>1681</v>
      </c>
      <c r="F950" s="392" t="s">
        <v>209</v>
      </c>
      <c r="G950" s="397">
        <v>80.533500000000004</v>
      </c>
      <c r="H950" s="397">
        <v>80.533000000000001</v>
      </c>
      <c r="I950" s="397">
        <f t="shared" si="406"/>
        <v>99.999379140357732</v>
      </c>
      <c r="J950" s="413"/>
      <c r="K950" s="401"/>
    </row>
    <row r="951" spans="1:12" s="192" customFormat="1" ht="31.5" x14ac:dyDescent="0.25">
      <c r="A951" s="400" t="s">
        <v>1359</v>
      </c>
      <c r="B951" s="391">
        <v>907</v>
      </c>
      <c r="C951" s="395" t="s">
        <v>491</v>
      </c>
      <c r="D951" s="395" t="s">
        <v>234</v>
      </c>
      <c r="E951" s="7" t="s">
        <v>482</v>
      </c>
      <c r="F951" s="395"/>
      <c r="G951" s="393">
        <f>G952</f>
        <v>2481.6999999999998</v>
      </c>
      <c r="H951" s="393">
        <f t="shared" ref="H951:H952" si="425">H952</f>
        <v>2250.8440000000001</v>
      </c>
      <c r="I951" s="393">
        <f t="shared" si="406"/>
        <v>90.697666921868077</v>
      </c>
      <c r="J951" s="413"/>
      <c r="K951" s="401"/>
    </row>
    <row r="952" spans="1:12" s="192" customFormat="1" ht="31.5" x14ac:dyDescent="0.25">
      <c r="A952" s="58" t="s">
        <v>950</v>
      </c>
      <c r="B952" s="391">
        <v>907</v>
      </c>
      <c r="C952" s="395" t="s">
        <v>491</v>
      </c>
      <c r="D952" s="395" t="s">
        <v>234</v>
      </c>
      <c r="E952" s="7" t="s">
        <v>1269</v>
      </c>
      <c r="F952" s="395"/>
      <c r="G952" s="393">
        <f>G953</f>
        <v>2481.6999999999998</v>
      </c>
      <c r="H952" s="393">
        <f t="shared" si="425"/>
        <v>2250.8440000000001</v>
      </c>
      <c r="I952" s="393">
        <f t="shared" si="406"/>
        <v>90.697666921868077</v>
      </c>
      <c r="J952" s="413"/>
      <c r="K952" s="401"/>
    </row>
    <row r="953" spans="1:12" s="192" customFormat="1" ht="15.75" x14ac:dyDescent="0.25">
      <c r="A953" s="29" t="s">
        <v>951</v>
      </c>
      <c r="B953" s="390">
        <v>907</v>
      </c>
      <c r="C953" s="392" t="s">
        <v>491</v>
      </c>
      <c r="D953" s="392" t="s">
        <v>234</v>
      </c>
      <c r="E953" s="399" t="s">
        <v>1270</v>
      </c>
      <c r="F953" s="392"/>
      <c r="G953" s="397">
        <f>G954+G956</f>
        <v>2481.6999999999998</v>
      </c>
      <c r="H953" s="397">
        <f t="shared" ref="H953" si="426">H954+H956</f>
        <v>2250.8440000000001</v>
      </c>
      <c r="I953" s="397">
        <f t="shared" si="406"/>
        <v>90.697666921868077</v>
      </c>
      <c r="J953" s="413"/>
      <c r="K953" s="401"/>
    </row>
    <row r="954" spans="1:12" s="192" customFormat="1" ht="63" x14ac:dyDescent="0.25">
      <c r="A954" s="396" t="s">
        <v>127</v>
      </c>
      <c r="B954" s="390">
        <v>907</v>
      </c>
      <c r="C954" s="392" t="s">
        <v>491</v>
      </c>
      <c r="D954" s="392" t="s">
        <v>234</v>
      </c>
      <c r="E954" s="399" t="s">
        <v>1270</v>
      </c>
      <c r="F954" s="392" t="s">
        <v>128</v>
      </c>
      <c r="G954" s="397">
        <f>G955</f>
        <v>1577.9</v>
      </c>
      <c r="H954" s="397">
        <f t="shared" ref="H954" si="427">H955</f>
        <v>1387.4449999999999</v>
      </c>
      <c r="I954" s="397">
        <f t="shared" si="406"/>
        <v>87.929843462830334</v>
      </c>
      <c r="J954" s="413"/>
      <c r="K954" s="401"/>
    </row>
    <row r="955" spans="1:12" s="192" customFormat="1" ht="15.75" x14ac:dyDescent="0.25">
      <c r="A955" s="396" t="s">
        <v>342</v>
      </c>
      <c r="B955" s="390">
        <v>907</v>
      </c>
      <c r="C955" s="392" t="s">
        <v>491</v>
      </c>
      <c r="D955" s="392" t="s">
        <v>234</v>
      </c>
      <c r="E955" s="399" t="s">
        <v>1270</v>
      </c>
      <c r="F955" s="392" t="s">
        <v>209</v>
      </c>
      <c r="G955" s="397">
        <f>2200-218.3-403.8</f>
        <v>1577.9</v>
      </c>
      <c r="H955" s="397">
        <v>1387.4449999999999</v>
      </c>
      <c r="I955" s="397">
        <f t="shared" si="406"/>
        <v>87.929843462830334</v>
      </c>
      <c r="J955" s="413"/>
      <c r="K955" s="401"/>
    </row>
    <row r="956" spans="1:12" s="192" customFormat="1" ht="31.5" x14ac:dyDescent="0.25">
      <c r="A956" s="29" t="s">
        <v>131</v>
      </c>
      <c r="B956" s="390">
        <v>907</v>
      </c>
      <c r="C956" s="392" t="s">
        <v>491</v>
      </c>
      <c r="D956" s="392" t="s">
        <v>234</v>
      </c>
      <c r="E956" s="399" t="s">
        <v>1270</v>
      </c>
      <c r="F956" s="392" t="s">
        <v>132</v>
      </c>
      <c r="G956" s="397">
        <f>G957</f>
        <v>903.8</v>
      </c>
      <c r="H956" s="397">
        <f t="shared" ref="H956" si="428">H957</f>
        <v>863.399</v>
      </c>
      <c r="I956" s="397">
        <f t="shared" si="406"/>
        <v>95.529873865899546</v>
      </c>
      <c r="J956" s="413"/>
      <c r="K956" s="401"/>
    </row>
    <row r="957" spans="1:12" s="192" customFormat="1" ht="31.5" x14ac:dyDescent="0.25">
      <c r="A957" s="29" t="s">
        <v>133</v>
      </c>
      <c r="B957" s="390">
        <v>907</v>
      </c>
      <c r="C957" s="392" t="s">
        <v>491</v>
      </c>
      <c r="D957" s="392" t="s">
        <v>234</v>
      </c>
      <c r="E957" s="399" t="s">
        <v>1270</v>
      </c>
      <c r="F957" s="392" t="s">
        <v>134</v>
      </c>
      <c r="G957" s="397">
        <f>500+403.8</f>
        <v>903.8</v>
      </c>
      <c r="H957" s="397">
        <v>863.399</v>
      </c>
      <c r="I957" s="397">
        <f t="shared" si="406"/>
        <v>95.529873865899546</v>
      </c>
      <c r="J957" s="413"/>
      <c r="K957" s="401"/>
    </row>
    <row r="958" spans="1:12" ht="31.5" x14ac:dyDescent="0.25">
      <c r="A958" s="391" t="s">
        <v>504</v>
      </c>
      <c r="B958" s="391">
        <v>908</v>
      </c>
      <c r="C958" s="392"/>
      <c r="D958" s="392"/>
      <c r="E958" s="392"/>
      <c r="F958" s="392"/>
      <c r="G958" s="393">
        <f>G979+G986+G1007+G1205+G959</f>
        <v>261847.65067999999</v>
      </c>
      <c r="H958" s="393">
        <f t="shared" ref="H958" si="429">H979+H986+H1007+H1205+H959</f>
        <v>251625.83900000001</v>
      </c>
      <c r="I958" s="393">
        <f t="shared" si="406"/>
        <v>96.096275199164609</v>
      </c>
      <c r="J958" s="413"/>
      <c r="K958" s="401"/>
      <c r="L958" s="192"/>
    </row>
    <row r="959" spans="1:12" ht="15.75" x14ac:dyDescent="0.25">
      <c r="A959" s="34" t="s">
        <v>117</v>
      </c>
      <c r="B959" s="391">
        <v>908</v>
      </c>
      <c r="C959" s="395" t="s">
        <v>118</v>
      </c>
      <c r="D959" s="392"/>
      <c r="E959" s="392"/>
      <c r="F959" s="392"/>
      <c r="G959" s="393">
        <f>G960</f>
        <v>52712.478999999992</v>
      </c>
      <c r="H959" s="393">
        <f t="shared" ref="H959:H961" si="430">H960</f>
        <v>50929.853999999999</v>
      </c>
      <c r="I959" s="393">
        <f t="shared" si="406"/>
        <v>96.618210651788942</v>
      </c>
      <c r="J959" s="413"/>
      <c r="K959" s="401"/>
      <c r="L959" s="192"/>
    </row>
    <row r="960" spans="1:12" ht="15.75" x14ac:dyDescent="0.25">
      <c r="A960" s="34" t="s">
        <v>139</v>
      </c>
      <c r="B960" s="391">
        <v>908</v>
      </c>
      <c r="C960" s="395" t="s">
        <v>118</v>
      </c>
      <c r="D960" s="395" t="s">
        <v>140</v>
      </c>
      <c r="E960" s="392"/>
      <c r="F960" s="392"/>
      <c r="G960" s="393">
        <f>G961</f>
        <v>52712.478999999992</v>
      </c>
      <c r="H960" s="393">
        <f t="shared" si="430"/>
        <v>50929.853999999999</v>
      </c>
      <c r="I960" s="393">
        <f t="shared" si="406"/>
        <v>96.618210651788942</v>
      </c>
      <c r="J960" s="413"/>
      <c r="K960" s="401"/>
      <c r="L960" s="192"/>
    </row>
    <row r="961" spans="1:12" ht="21.2" customHeight="1" x14ac:dyDescent="0.25">
      <c r="A961" s="394" t="s">
        <v>141</v>
      </c>
      <c r="B961" s="391">
        <v>908</v>
      </c>
      <c r="C961" s="395" t="s">
        <v>118</v>
      </c>
      <c r="D961" s="395" t="s">
        <v>140</v>
      </c>
      <c r="E961" s="395" t="s">
        <v>865</v>
      </c>
      <c r="F961" s="395"/>
      <c r="G961" s="44">
        <f>G962</f>
        <v>52712.478999999992</v>
      </c>
      <c r="H961" s="44">
        <f t="shared" si="430"/>
        <v>50929.853999999999</v>
      </c>
      <c r="I961" s="393">
        <f t="shared" si="406"/>
        <v>96.618210651788942</v>
      </c>
      <c r="J961" s="413"/>
      <c r="K961" s="401"/>
      <c r="L961" s="192"/>
    </row>
    <row r="962" spans="1:12" ht="15.75" x14ac:dyDescent="0.25">
      <c r="A962" s="394" t="s">
        <v>953</v>
      </c>
      <c r="B962" s="391">
        <v>908</v>
      </c>
      <c r="C962" s="395" t="s">
        <v>118</v>
      </c>
      <c r="D962" s="395" t="s">
        <v>140</v>
      </c>
      <c r="E962" s="395" t="s">
        <v>952</v>
      </c>
      <c r="F962" s="395"/>
      <c r="G962" s="44">
        <f>G966+G963+G976</f>
        <v>52712.478999999992</v>
      </c>
      <c r="H962" s="44">
        <f t="shared" ref="H962" si="431">H966+H963+H976</f>
        <v>50929.853999999999</v>
      </c>
      <c r="I962" s="393">
        <f t="shared" si="406"/>
        <v>96.618210651788942</v>
      </c>
      <c r="J962" s="413"/>
      <c r="K962" s="401"/>
      <c r="L962" s="192"/>
    </row>
    <row r="963" spans="1:12" s="192" customFormat="1" ht="31.5" x14ac:dyDescent="0.25">
      <c r="A963" s="396" t="s">
        <v>838</v>
      </c>
      <c r="B963" s="390">
        <v>908</v>
      </c>
      <c r="C963" s="392" t="s">
        <v>118</v>
      </c>
      <c r="D963" s="392" t="s">
        <v>140</v>
      </c>
      <c r="E963" s="392" t="s">
        <v>955</v>
      </c>
      <c r="F963" s="392"/>
      <c r="G963" s="397">
        <f>G964</f>
        <v>522.5</v>
      </c>
      <c r="H963" s="397">
        <f t="shared" ref="H963:H964" si="432">H964</f>
        <v>455.27199999999999</v>
      </c>
      <c r="I963" s="397">
        <f t="shared" si="406"/>
        <v>87.133397129186591</v>
      </c>
      <c r="J963" s="413"/>
      <c r="K963" s="401"/>
    </row>
    <row r="964" spans="1:12" s="192" customFormat="1" ht="63" x14ac:dyDescent="0.25">
      <c r="A964" s="396" t="s">
        <v>127</v>
      </c>
      <c r="B964" s="390">
        <v>908</v>
      </c>
      <c r="C964" s="392" t="s">
        <v>118</v>
      </c>
      <c r="D964" s="392" t="s">
        <v>140</v>
      </c>
      <c r="E964" s="392" t="s">
        <v>955</v>
      </c>
      <c r="F964" s="392" t="s">
        <v>128</v>
      </c>
      <c r="G964" s="397">
        <f>G965</f>
        <v>522.5</v>
      </c>
      <c r="H964" s="397">
        <f t="shared" si="432"/>
        <v>455.27199999999999</v>
      </c>
      <c r="I964" s="397">
        <f t="shared" si="406"/>
        <v>87.133397129186591</v>
      </c>
      <c r="J964" s="413"/>
      <c r="K964" s="401"/>
    </row>
    <row r="965" spans="1:12" s="192" customFormat="1" ht="31.5" x14ac:dyDescent="0.25">
      <c r="A965" s="396" t="s">
        <v>129</v>
      </c>
      <c r="B965" s="390">
        <v>908</v>
      </c>
      <c r="C965" s="392" t="s">
        <v>118</v>
      </c>
      <c r="D965" s="392" t="s">
        <v>140</v>
      </c>
      <c r="E965" s="392" t="s">
        <v>955</v>
      </c>
      <c r="F965" s="392" t="s">
        <v>209</v>
      </c>
      <c r="G965" s="397">
        <f>1072-500-49.5</f>
        <v>522.5</v>
      </c>
      <c r="H965" s="397">
        <v>455.27199999999999</v>
      </c>
      <c r="I965" s="397">
        <f t="shared" si="406"/>
        <v>87.133397129186591</v>
      </c>
      <c r="J965" s="413"/>
      <c r="K965" s="401"/>
    </row>
    <row r="966" spans="1:12" s="192" customFormat="1" ht="15.75" x14ac:dyDescent="0.25">
      <c r="A966" s="396" t="s">
        <v>801</v>
      </c>
      <c r="B966" s="390">
        <v>908</v>
      </c>
      <c r="C966" s="392" t="s">
        <v>118</v>
      </c>
      <c r="D966" s="392" t="s">
        <v>140</v>
      </c>
      <c r="E966" s="392" t="s">
        <v>954</v>
      </c>
      <c r="F966" s="392"/>
      <c r="G966" s="27">
        <f>G967+G969+G973+G971</f>
        <v>51363.028999999995</v>
      </c>
      <c r="H966" s="27">
        <f t="shared" ref="H966" si="433">H967+H969+H973+H971</f>
        <v>49647.632000000005</v>
      </c>
      <c r="I966" s="397">
        <f t="shared" si="406"/>
        <v>96.660249534738313</v>
      </c>
      <c r="J966" s="413"/>
      <c r="K966" s="401"/>
    </row>
    <row r="967" spans="1:12" ht="74.25" customHeight="1" x14ac:dyDescent="0.25">
      <c r="A967" s="396" t="s">
        <v>127</v>
      </c>
      <c r="B967" s="390">
        <v>908</v>
      </c>
      <c r="C967" s="392" t="s">
        <v>118</v>
      </c>
      <c r="D967" s="392" t="s">
        <v>140</v>
      </c>
      <c r="E967" s="392" t="s">
        <v>954</v>
      </c>
      <c r="F967" s="392" t="s">
        <v>128</v>
      </c>
      <c r="G967" s="27">
        <f>G968</f>
        <v>35232.398999999998</v>
      </c>
      <c r="H967" s="27">
        <f t="shared" ref="H967" si="434">H968</f>
        <v>35105.281000000003</v>
      </c>
      <c r="I967" s="397">
        <f t="shared" si="406"/>
        <v>99.639201406637127</v>
      </c>
      <c r="J967" s="413"/>
      <c r="K967" s="401"/>
      <c r="L967" s="192"/>
    </row>
    <row r="968" spans="1:12" ht="15.75" x14ac:dyDescent="0.25">
      <c r="A968" s="46" t="s">
        <v>342</v>
      </c>
      <c r="B968" s="390">
        <v>908</v>
      </c>
      <c r="C968" s="392" t="s">
        <v>118</v>
      </c>
      <c r="D968" s="392" t="s">
        <v>140</v>
      </c>
      <c r="E968" s="392" t="s">
        <v>954</v>
      </c>
      <c r="F968" s="392" t="s">
        <v>209</v>
      </c>
      <c r="G968" s="27">
        <f>32825.8-1300+632.4-800-136+72.5+700+2350.399-46.8+956.4-482.3+460</f>
        <v>35232.398999999998</v>
      </c>
      <c r="H968" s="27">
        <v>35105.281000000003</v>
      </c>
      <c r="I968" s="397">
        <f t="shared" si="406"/>
        <v>99.639201406637127</v>
      </c>
      <c r="J968" s="413"/>
      <c r="K968" s="413"/>
      <c r="L968" s="192"/>
    </row>
    <row r="969" spans="1:12" ht="31.5" x14ac:dyDescent="0.25">
      <c r="A969" s="396" t="s">
        <v>131</v>
      </c>
      <c r="B969" s="390">
        <v>908</v>
      </c>
      <c r="C969" s="392" t="s">
        <v>118</v>
      </c>
      <c r="D969" s="392" t="s">
        <v>140</v>
      </c>
      <c r="E969" s="392" t="s">
        <v>954</v>
      </c>
      <c r="F969" s="392" t="s">
        <v>132</v>
      </c>
      <c r="G969" s="27">
        <f>G970</f>
        <v>15566.430000000002</v>
      </c>
      <c r="H969" s="27">
        <f t="shared" ref="H969" si="435">H970</f>
        <v>13991.736000000001</v>
      </c>
      <c r="I969" s="397">
        <f t="shared" si="406"/>
        <v>89.884038922219162</v>
      </c>
      <c r="J969" s="413"/>
      <c r="K969" s="401"/>
      <c r="L969" s="192"/>
    </row>
    <row r="970" spans="1:12" ht="31.5" x14ac:dyDescent="0.25">
      <c r="A970" s="396" t="s">
        <v>133</v>
      </c>
      <c r="B970" s="390">
        <v>908</v>
      </c>
      <c r="C970" s="392" t="s">
        <v>118</v>
      </c>
      <c r="D970" s="392" t="s">
        <v>140</v>
      </c>
      <c r="E970" s="392" t="s">
        <v>954</v>
      </c>
      <c r="F970" s="392" t="s">
        <v>134</v>
      </c>
      <c r="G970" s="27">
        <f>6896.3+67+1526.83+3571.3-600+1300+123-506+142.6+41.5+50+247.8+2370-631.8+130+10+536+100+288.5-55-164.8+126.2+51.4-98.4+44</f>
        <v>15566.430000000002</v>
      </c>
      <c r="H970" s="27">
        <v>13991.736000000001</v>
      </c>
      <c r="I970" s="397">
        <f t="shared" ref="I970:I1033" si="436">H970/G970*100</f>
        <v>89.884038922219162</v>
      </c>
      <c r="J970" s="421"/>
      <c r="K970" s="401"/>
      <c r="L970" s="418"/>
    </row>
    <row r="971" spans="1:12" s="192" customFormat="1" ht="15.75" x14ac:dyDescent="0.25">
      <c r="A971" s="396" t="s">
        <v>248</v>
      </c>
      <c r="B971" s="390">
        <v>908</v>
      </c>
      <c r="C971" s="392" t="s">
        <v>118</v>
      </c>
      <c r="D971" s="392" t="s">
        <v>140</v>
      </c>
      <c r="E971" s="392" t="s">
        <v>954</v>
      </c>
      <c r="F971" s="392" t="s">
        <v>249</v>
      </c>
      <c r="G971" s="27">
        <f>G972</f>
        <v>11</v>
      </c>
      <c r="H971" s="27">
        <f t="shared" ref="H971" si="437">H972</f>
        <v>0</v>
      </c>
      <c r="I971" s="397">
        <f t="shared" si="436"/>
        <v>0</v>
      </c>
      <c r="J971" s="421"/>
      <c r="K971" s="401"/>
      <c r="L971" s="442"/>
    </row>
    <row r="972" spans="1:12" s="192" customFormat="1" ht="31.5" x14ac:dyDescent="0.25">
      <c r="A972" s="489" t="s">
        <v>250</v>
      </c>
      <c r="B972" s="478">
        <v>908</v>
      </c>
      <c r="C972" s="479" t="s">
        <v>118</v>
      </c>
      <c r="D972" s="479" t="s">
        <v>140</v>
      </c>
      <c r="E972" s="479" t="s">
        <v>954</v>
      </c>
      <c r="F972" s="479" t="s">
        <v>251</v>
      </c>
      <c r="G972" s="495">
        <v>11</v>
      </c>
      <c r="H972" s="495">
        <v>0</v>
      </c>
      <c r="I972" s="397">
        <f t="shared" si="436"/>
        <v>0</v>
      </c>
      <c r="J972" s="421"/>
      <c r="K972" s="401"/>
      <c r="L972" s="442"/>
    </row>
    <row r="973" spans="1:12" ht="15.75" x14ac:dyDescent="0.25">
      <c r="A973" s="396" t="s">
        <v>135</v>
      </c>
      <c r="B973" s="390">
        <v>908</v>
      </c>
      <c r="C973" s="392" t="s">
        <v>118</v>
      </c>
      <c r="D973" s="392" t="s">
        <v>140</v>
      </c>
      <c r="E973" s="392" t="s">
        <v>954</v>
      </c>
      <c r="F973" s="392" t="s">
        <v>145</v>
      </c>
      <c r="G973" s="27">
        <f>G975+G974</f>
        <v>553.19999999999993</v>
      </c>
      <c r="H973" s="27">
        <f t="shared" ref="H973" si="438">H975+H974</f>
        <v>550.61500000000001</v>
      </c>
      <c r="I973" s="397">
        <f t="shared" si="436"/>
        <v>99.532718727404216</v>
      </c>
      <c r="J973" s="421"/>
      <c r="K973" s="401"/>
      <c r="L973" s="380"/>
    </row>
    <row r="974" spans="1:12" s="192" customFormat="1" ht="15.75" x14ac:dyDescent="0.25">
      <c r="A974" s="396" t="s">
        <v>146</v>
      </c>
      <c r="B974" s="390">
        <v>908</v>
      </c>
      <c r="C974" s="392" t="s">
        <v>118</v>
      </c>
      <c r="D974" s="392" t="s">
        <v>140</v>
      </c>
      <c r="E974" s="392" t="s">
        <v>954</v>
      </c>
      <c r="F974" s="392" t="s">
        <v>147</v>
      </c>
      <c r="G974" s="27">
        <v>10</v>
      </c>
      <c r="H974" s="27">
        <v>10</v>
      </c>
      <c r="I974" s="397">
        <f t="shared" si="436"/>
        <v>100</v>
      </c>
      <c r="J974" s="421"/>
      <c r="K974" s="401"/>
      <c r="L974" s="380"/>
    </row>
    <row r="975" spans="1:12" ht="15.75" x14ac:dyDescent="0.25">
      <c r="A975" s="396" t="s">
        <v>704</v>
      </c>
      <c r="B975" s="390">
        <v>908</v>
      </c>
      <c r="C975" s="392" t="s">
        <v>118</v>
      </c>
      <c r="D975" s="392" t="s">
        <v>140</v>
      </c>
      <c r="E975" s="392" t="s">
        <v>954</v>
      </c>
      <c r="F975" s="392" t="s">
        <v>138</v>
      </c>
      <c r="G975" s="27">
        <f>421+112.8+1.9-2.5+10</f>
        <v>543.19999999999993</v>
      </c>
      <c r="H975" s="27">
        <v>540.61500000000001</v>
      </c>
      <c r="I975" s="397">
        <f t="shared" si="436"/>
        <v>99.524116347569972</v>
      </c>
      <c r="J975" s="421"/>
      <c r="K975" s="401"/>
      <c r="L975" s="380"/>
    </row>
    <row r="976" spans="1:12" s="192" customFormat="1" ht="47.25" x14ac:dyDescent="0.25">
      <c r="A976" s="396" t="s">
        <v>1660</v>
      </c>
      <c r="B976" s="390">
        <v>908</v>
      </c>
      <c r="C976" s="392" t="s">
        <v>118</v>
      </c>
      <c r="D976" s="392" t="s">
        <v>140</v>
      </c>
      <c r="E976" s="392" t="s">
        <v>1676</v>
      </c>
      <c r="F976" s="392"/>
      <c r="G976" s="27">
        <f>G977</f>
        <v>826.95</v>
      </c>
      <c r="H976" s="27">
        <f t="shared" ref="H976:H977" si="439">H977</f>
        <v>826.95</v>
      </c>
      <c r="I976" s="397">
        <f t="shared" si="436"/>
        <v>100</v>
      </c>
      <c r="J976" s="421"/>
      <c r="K976" s="401"/>
      <c r="L976" s="380"/>
    </row>
    <row r="977" spans="1:12" s="192" customFormat="1" ht="63" x14ac:dyDescent="0.25">
      <c r="A977" s="396" t="s">
        <v>127</v>
      </c>
      <c r="B977" s="390">
        <v>908</v>
      </c>
      <c r="C977" s="392" t="s">
        <v>118</v>
      </c>
      <c r="D977" s="392" t="s">
        <v>140</v>
      </c>
      <c r="E977" s="392" t="s">
        <v>1676</v>
      </c>
      <c r="F977" s="392" t="s">
        <v>128</v>
      </c>
      <c r="G977" s="27">
        <f>G978</f>
        <v>826.95</v>
      </c>
      <c r="H977" s="27">
        <f t="shared" si="439"/>
        <v>826.95</v>
      </c>
      <c r="I977" s="397">
        <f t="shared" si="436"/>
        <v>100</v>
      </c>
      <c r="J977" s="421"/>
      <c r="K977" s="401"/>
      <c r="L977" s="380"/>
    </row>
    <row r="978" spans="1:12" s="192" customFormat="1" ht="15.75" x14ac:dyDescent="0.25">
      <c r="A978" s="46" t="s">
        <v>342</v>
      </c>
      <c r="B978" s="390">
        <v>908</v>
      </c>
      <c r="C978" s="392" t="s">
        <v>118</v>
      </c>
      <c r="D978" s="392" t="s">
        <v>140</v>
      </c>
      <c r="E978" s="392" t="s">
        <v>1676</v>
      </c>
      <c r="F978" s="392" t="s">
        <v>209</v>
      </c>
      <c r="G978" s="27">
        <v>826.95</v>
      </c>
      <c r="H978" s="27">
        <v>826.95</v>
      </c>
      <c r="I978" s="397">
        <f t="shared" si="436"/>
        <v>100</v>
      </c>
      <c r="J978" s="421"/>
      <c r="K978" s="401"/>
      <c r="L978" s="380"/>
    </row>
    <row r="979" spans="1:12" ht="31.5" hidden="1" x14ac:dyDescent="0.25">
      <c r="A979" s="394" t="s">
        <v>222</v>
      </c>
      <c r="B979" s="391">
        <v>908</v>
      </c>
      <c r="C979" s="395" t="s">
        <v>215</v>
      </c>
      <c r="D979" s="395"/>
      <c r="E979" s="395"/>
      <c r="F979" s="395"/>
      <c r="G979" s="393">
        <f t="shared" ref="G979:H984" si="440">G980</f>
        <v>0</v>
      </c>
      <c r="H979" s="393">
        <f t="shared" si="440"/>
        <v>0</v>
      </c>
      <c r="I979" s="397" t="e">
        <f t="shared" si="436"/>
        <v>#DIV/0!</v>
      </c>
      <c r="J979" s="421"/>
      <c r="K979" s="401"/>
      <c r="L979" s="381"/>
    </row>
    <row r="980" spans="1:12" ht="47.85" hidden="1" customHeight="1" x14ac:dyDescent="0.25">
      <c r="A980" s="394" t="s">
        <v>1344</v>
      </c>
      <c r="B980" s="391">
        <v>908</v>
      </c>
      <c r="C980" s="395" t="s">
        <v>215</v>
      </c>
      <c r="D980" s="395" t="s">
        <v>244</v>
      </c>
      <c r="E980" s="395"/>
      <c r="F980" s="395"/>
      <c r="G980" s="393">
        <f t="shared" si="440"/>
        <v>0</v>
      </c>
      <c r="H980" s="393">
        <f t="shared" si="440"/>
        <v>0</v>
      </c>
      <c r="I980" s="397" t="e">
        <f t="shared" si="436"/>
        <v>#DIV/0!</v>
      </c>
      <c r="J980" s="413"/>
      <c r="K980" s="401"/>
      <c r="L980" s="192"/>
    </row>
    <row r="981" spans="1:12" ht="21.75" hidden="1" customHeight="1" x14ac:dyDescent="0.25">
      <c r="A981" s="394" t="s">
        <v>141</v>
      </c>
      <c r="B981" s="391">
        <v>908</v>
      </c>
      <c r="C981" s="395" t="s">
        <v>215</v>
      </c>
      <c r="D981" s="395" t="s">
        <v>244</v>
      </c>
      <c r="E981" s="395" t="s">
        <v>865</v>
      </c>
      <c r="F981" s="395"/>
      <c r="G981" s="393">
        <f t="shared" si="440"/>
        <v>0</v>
      </c>
      <c r="H981" s="393">
        <f t="shared" si="440"/>
        <v>0</v>
      </c>
      <c r="I981" s="397" t="e">
        <f t="shared" si="436"/>
        <v>#DIV/0!</v>
      </c>
      <c r="J981" s="413"/>
      <c r="K981" s="401"/>
      <c r="L981" s="192"/>
    </row>
    <row r="982" spans="1:12" ht="31.5" hidden="1" x14ac:dyDescent="0.25">
      <c r="A982" s="394" t="s">
        <v>869</v>
      </c>
      <c r="B982" s="391">
        <v>908</v>
      </c>
      <c r="C982" s="395" t="s">
        <v>215</v>
      </c>
      <c r="D982" s="395" t="s">
        <v>244</v>
      </c>
      <c r="E982" s="395" t="s">
        <v>864</v>
      </c>
      <c r="F982" s="395"/>
      <c r="G982" s="393">
        <f t="shared" si="440"/>
        <v>0</v>
      </c>
      <c r="H982" s="393">
        <f t="shared" si="440"/>
        <v>0</v>
      </c>
      <c r="I982" s="397" t="e">
        <f t="shared" si="436"/>
        <v>#DIV/0!</v>
      </c>
      <c r="J982" s="413"/>
      <c r="K982" s="401"/>
      <c r="L982" s="192"/>
    </row>
    <row r="983" spans="1:12" ht="15.75" hidden="1" x14ac:dyDescent="0.25">
      <c r="A983" s="396" t="s">
        <v>230</v>
      </c>
      <c r="B983" s="390">
        <v>908</v>
      </c>
      <c r="C983" s="392" t="s">
        <v>215</v>
      </c>
      <c r="D983" s="392" t="s">
        <v>244</v>
      </c>
      <c r="E983" s="392" t="s">
        <v>875</v>
      </c>
      <c r="F983" s="392"/>
      <c r="G983" s="397">
        <f t="shared" si="440"/>
        <v>0</v>
      </c>
      <c r="H983" s="397">
        <f t="shared" si="440"/>
        <v>0</v>
      </c>
      <c r="I983" s="397" t="e">
        <f t="shared" si="436"/>
        <v>#DIV/0!</v>
      </c>
      <c r="J983" s="413"/>
      <c r="K983" s="401"/>
      <c r="L983" s="192"/>
    </row>
    <row r="984" spans="1:12" ht="31.5" hidden="1" x14ac:dyDescent="0.25">
      <c r="A984" s="396" t="s">
        <v>131</v>
      </c>
      <c r="B984" s="390">
        <v>908</v>
      </c>
      <c r="C984" s="392" t="s">
        <v>215</v>
      </c>
      <c r="D984" s="392" t="s">
        <v>244</v>
      </c>
      <c r="E984" s="392" t="s">
        <v>875</v>
      </c>
      <c r="F984" s="392" t="s">
        <v>132</v>
      </c>
      <c r="G984" s="397">
        <f t="shared" si="440"/>
        <v>0</v>
      </c>
      <c r="H984" s="397">
        <f t="shared" si="440"/>
        <v>0</v>
      </c>
      <c r="I984" s="397" t="e">
        <f t="shared" si="436"/>
        <v>#DIV/0!</v>
      </c>
      <c r="J984" s="413"/>
      <c r="K984" s="401"/>
      <c r="L984" s="192"/>
    </row>
    <row r="985" spans="1:12" ht="31.5" hidden="1" x14ac:dyDescent="0.25">
      <c r="A985" s="396" t="s">
        <v>133</v>
      </c>
      <c r="B985" s="390">
        <v>908</v>
      </c>
      <c r="C985" s="392" t="s">
        <v>215</v>
      </c>
      <c r="D985" s="392" t="s">
        <v>244</v>
      </c>
      <c r="E985" s="392" t="s">
        <v>875</v>
      </c>
      <c r="F985" s="392" t="s">
        <v>134</v>
      </c>
      <c r="G985" s="397">
        <f>107-31.7-30.1-1.2-44</f>
        <v>0</v>
      </c>
      <c r="H985" s="397">
        <f t="shared" ref="H985" si="441">107-31.7-30.1-1.2-44</f>
        <v>0</v>
      </c>
      <c r="I985" s="397" t="e">
        <f t="shared" si="436"/>
        <v>#DIV/0!</v>
      </c>
      <c r="J985" s="413"/>
      <c r="K985" s="401"/>
      <c r="L985" s="192"/>
    </row>
    <row r="986" spans="1:12" ht="15.75" x14ac:dyDescent="0.25">
      <c r="A986" s="394" t="s">
        <v>232</v>
      </c>
      <c r="B986" s="391">
        <v>908</v>
      </c>
      <c r="C986" s="395" t="s">
        <v>150</v>
      </c>
      <c r="D986" s="395"/>
      <c r="E986" s="395"/>
      <c r="F986" s="395"/>
      <c r="G986" s="393">
        <f>G987+G993</f>
        <v>8102.5</v>
      </c>
      <c r="H986" s="393">
        <f t="shared" ref="H986" si="442">H987+H993</f>
        <v>8029.8419999999996</v>
      </c>
      <c r="I986" s="393">
        <f t="shared" si="436"/>
        <v>99.103264424560308</v>
      </c>
      <c r="J986" s="413"/>
      <c r="K986" s="401"/>
      <c r="L986" s="192"/>
    </row>
    <row r="987" spans="1:12" ht="15.75" x14ac:dyDescent="0.25">
      <c r="A987" s="394" t="s">
        <v>505</v>
      </c>
      <c r="B987" s="391">
        <v>908</v>
      </c>
      <c r="C987" s="395" t="s">
        <v>150</v>
      </c>
      <c r="D987" s="395" t="s">
        <v>299</v>
      </c>
      <c r="E987" s="395"/>
      <c r="F987" s="395"/>
      <c r="G987" s="393">
        <f>G988</f>
        <v>3258</v>
      </c>
      <c r="H987" s="393">
        <f t="shared" ref="H987:H991" si="443">H988</f>
        <v>3258</v>
      </c>
      <c r="I987" s="393">
        <f t="shared" si="436"/>
        <v>100</v>
      </c>
      <c r="J987" s="413"/>
      <c r="K987" s="401"/>
      <c r="L987" s="192"/>
    </row>
    <row r="988" spans="1:12" ht="15.75" x14ac:dyDescent="0.25">
      <c r="A988" s="394" t="s">
        <v>141</v>
      </c>
      <c r="B988" s="391">
        <v>908</v>
      </c>
      <c r="C988" s="395" t="s">
        <v>150</v>
      </c>
      <c r="D988" s="395" t="s">
        <v>299</v>
      </c>
      <c r="E988" s="395" t="s">
        <v>865</v>
      </c>
      <c r="F988" s="395"/>
      <c r="G988" s="393">
        <f>G989</f>
        <v>3258</v>
      </c>
      <c r="H988" s="393">
        <f t="shared" si="443"/>
        <v>3258</v>
      </c>
      <c r="I988" s="393">
        <f t="shared" si="436"/>
        <v>100</v>
      </c>
      <c r="J988" s="413"/>
      <c r="K988" s="401"/>
      <c r="L988" s="192"/>
    </row>
    <row r="989" spans="1:12" ht="31.5" x14ac:dyDescent="0.25">
      <c r="A989" s="394" t="s">
        <v>869</v>
      </c>
      <c r="B989" s="391">
        <v>908</v>
      </c>
      <c r="C989" s="395" t="s">
        <v>150</v>
      </c>
      <c r="D989" s="395" t="s">
        <v>299</v>
      </c>
      <c r="E989" s="395" t="s">
        <v>864</v>
      </c>
      <c r="F989" s="395"/>
      <c r="G989" s="393">
        <f>G990</f>
        <v>3258</v>
      </c>
      <c r="H989" s="393">
        <f t="shared" si="443"/>
        <v>3258</v>
      </c>
      <c r="I989" s="393">
        <f t="shared" si="436"/>
        <v>100</v>
      </c>
      <c r="J989" s="413"/>
      <c r="K989" s="401"/>
      <c r="L989" s="192"/>
    </row>
    <row r="990" spans="1:12" ht="18" customHeight="1" x14ac:dyDescent="0.25">
      <c r="A990" s="396" t="s">
        <v>506</v>
      </c>
      <c r="B990" s="390">
        <v>908</v>
      </c>
      <c r="C990" s="392" t="s">
        <v>150</v>
      </c>
      <c r="D990" s="392" t="s">
        <v>299</v>
      </c>
      <c r="E990" s="392" t="s">
        <v>956</v>
      </c>
      <c r="F990" s="392"/>
      <c r="G990" s="397">
        <f>G991</f>
        <v>3258</v>
      </c>
      <c r="H990" s="397">
        <f t="shared" si="443"/>
        <v>3258</v>
      </c>
      <c r="I990" s="397">
        <f t="shared" si="436"/>
        <v>100</v>
      </c>
      <c r="J990" s="413"/>
      <c r="K990" s="401"/>
      <c r="L990" s="192"/>
    </row>
    <row r="991" spans="1:12" ht="31.5" x14ac:dyDescent="0.25">
      <c r="A991" s="396" t="s">
        <v>131</v>
      </c>
      <c r="B991" s="390">
        <v>908</v>
      </c>
      <c r="C991" s="392" t="s">
        <v>150</v>
      </c>
      <c r="D991" s="392" t="s">
        <v>299</v>
      </c>
      <c r="E991" s="392" t="s">
        <v>956</v>
      </c>
      <c r="F991" s="392" t="s">
        <v>132</v>
      </c>
      <c r="G991" s="397">
        <f>G992</f>
        <v>3258</v>
      </c>
      <c r="H991" s="397">
        <f t="shared" si="443"/>
        <v>3258</v>
      </c>
      <c r="I991" s="397">
        <f t="shared" si="436"/>
        <v>100</v>
      </c>
      <c r="J991" s="413"/>
      <c r="K991" s="401"/>
      <c r="L991" s="192"/>
    </row>
    <row r="992" spans="1:12" ht="31.5" x14ac:dyDescent="0.25">
      <c r="A992" s="396" t="s">
        <v>133</v>
      </c>
      <c r="B992" s="390">
        <v>908</v>
      </c>
      <c r="C992" s="392" t="s">
        <v>150</v>
      </c>
      <c r="D992" s="392" t="s">
        <v>299</v>
      </c>
      <c r="E992" s="392" t="s">
        <v>956</v>
      </c>
      <c r="F992" s="392" t="s">
        <v>134</v>
      </c>
      <c r="G992" s="397">
        <v>3258</v>
      </c>
      <c r="H992" s="397">
        <v>3258</v>
      </c>
      <c r="I992" s="397">
        <f t="shared" si="436"/>
        <v>100</v>
      </c>
      <c r="J992" s="413"/>
      <c r="K992" s="401"/>
      <c r="L992" s="192"/>
    </row>
    <row r="993" spans="1:12" ht="15.75" x14ac:dyDescent="0.25">
      <c r="A993" s="394" t="s">
        <v>508</v>
      </c>
      <c r="B993" s="391">
        <v>908</v>
      </c>
      <c r="C993" s="395" t="s">
        <v>150</v>
      </c>
      <c r="D993" s="395" t="s">
        <v>219</v>
      </c>
      <c r="E993" s="392"/>
      <c r="F993" s="395"/>
      <c r="G993" s="393">
        <f>G994</f>
        <v>4844.5</v>
      </c>
      <c r="H993" s="393">
        <f t="shared" ref="H993" si="444">H994</f>
        <v>4771.8419999999996</v>
      </c>
      <c r="I993" s="393">
        <f t="shared" si="436"/>
        <v>98.500196098668596</v>
      </c>
      <c r="J993" s="413"/>
      <c r="K993" s="401"/>
      <c r="L993" s="192"/>
    </row>
    <row r="994" spans="1:12" ht="36.75" customHeight="1" x14ac:dyDescent="0.25">
      <c r="A994" s="34" t="s">
        <v>1360</v>
      </c>
      <c r="B994" s="391">
        <v>908</v>
      </c>
      <c r="C994" s="395" t="s">
        <v>150</v>
      </c>
      <c r="D994" s="395" t="s">
        <v>219</v>
      </c>
      <c r="E994" s="395" t="s">
        <v>510</v>
      </c>
      <c r="F994" s="395"/>
      <c r="G994" s="393">
        <f>G1000+G995</f>
        <v>4844.5</v>
      </c>
      <c r="H994" s="393">
        <f t="shared" ref="H994" si="445">H1000+H995</f>
        <v>4771.8419999999996</v>
      </c>
      <c r="I994" s="393">
        <f t="shared" si="436"/>
        <v>98.500196098668596</v>
      </c>
      <c r="J994" s="413"/>
      <c r="K994" s="401"/>
      <c r="L994" s="192"/>
    </row>
    <row r="995" spans="1:12" s="192" customFormat="1" ht="31.5" hidden="1" x14ac:dyDescent="0.25">
      <c r="A995" s="34" t="s">
        <v>998</v>
      </c>
      <c r="B995" s="391">
        <v>908</v>
      </c>
      <c r="C995" s="395" t="s">
        <v>150</v>
      </c>
      <c r="D995" s="395" t="s">
        <v>219</v>
      </c>
      <c r="E995" s="7" t="s">
        <v>957</v>
      </c>
      <c r="F995" s="395"/>
      <c r="G995" s="393">
        <f>G996</f>
        <v>0</v>
      </c>
      <c r="H995" s="393">
        <f t="shared" ref="H995:H997" si="446">H996</f>
        <v>0</v>
      </c>
      <c r="I995" s="393" t="e">
        <f t="shared" si="436"/>
        <v>#DIV/0!</v>
      </c>
      <c r="J995" s="413"/>
      <c r="K995" s="401"/>
    </row>
    <row r="996" spans="1:12" s="192" customFormat="1" ht="15.75" hidden="1" x14ac:dyDescent="0.25">
      <c r="A996" s="29" t="s">
        <v>1000</v>
      </c>
      <c r="B996" s="390">
        <v>908</v>
      </c>
      <c r="C996" s="392" t="s">
        <v>150</v>
      </c>
      <c r="D996" s="392" t="s">
        <v>219</v>
      </c>
      <c r="E996" s="399" t="s">
        <v>999</v>
      </c>
      <c r="F996" s="392"/>
      <c r="G996" s="397">
        <f>G997</f>
        <v>0</v>
      </c>
      <c r="H996" s="397">
        <f t="shared" si="446"/>
        <v>0</v>
      </c>
      <c r="I996" s="393" t="e">
        <f t="shared" si="436"/>
        <v>#DIV/0!</v>
      </c>
      <c r="J996" s="413"/>
      <c r="K996" s="401"/>
    </row>
    <row r="997" spans="1:12" s="192" customFormat="1" ht="31.5" hidden="1" x14ac:dyDescent="0.25">
      <c r="A997" s="396" t="s">
        <v>131</v>
      </c>
      <c r="B997" s="390">
        <v>908</v>
      </c>
      <c r="C997" s="392" t="s">
        <v>150</v>
      </c>
      <c r="D997" s="392" t="s">
        <v>219</v>
      </c>
      <c r="E997" s="399" t="s">
        <v>999</v>
      </c>
      <c r="F997" s="392" t="s">
        <v>132</v>
      </c>
      <c r="G997" s="397">
        <f>G998</f>
        <v>0</v>
      </c>
      <c r="H997" s="397">
        <f t="shared" si="446"/>
        <v>0</v>
      </c>
      <c r="I997" s="393" t="e">
        <f t="shared" si="436"/>
        <v>#DIV/0!</v>
      </c>
      <c r="J997" s="413"/>
      <c r="K997" s="401"/>
    </row>
    <row r="998" spans="1:12" s="192" customFormat="1" ht="31.5" hidden="1" x14ac:dyDescent="0.25">
      <c r="A998" s="396" t="s">
        <v>133</v>
      </c>
      <c r="B998" s="390">
        <v>908</v>
      </c>
      <c r="C998" s="392" t="s">
        <v>150</v>
      </c>
      <c r="D998" s="392" t="s">
        <v>219</v>
      </c>
      <c r="E998" s="399" t="s">
        <v>999</v>
      </c>
      <c r="F998" s="392" t="s">
        <v>134</v>
      </c>
      <c r="G998" s="397">
        <v>0</v>
      </c>
      <c r="H998" s="397">
        <v>0</v>
      </c>
      <c r="I998" s="393" t="e">
        <f t="shared" si="436"/>
        <v>#DIV/0!</v>
      </c>
      <c r="J998" s="413"/>
      <c r="K998" s="401"/>
    </row>
    <row r="999" spans="1:12" s="192" customFormat="1" ht="31.5" x14ac:dyDescent="0.25">
      <c r="A999" s="34" t="s">
        <v>1061</v>
      </c>
      <c r="B999" s="391">
        <v>908</v>
      </c>
      <c r="C999" s="395" t="s">
        <v>150</v>
      </c>
      <c r="D999" s="395" t="s">
        <v>219</v>
      </c>
      <c r="E999" s="395" t="s">
        <v>958</v>
      </c>
      <c r="F999" s="395"/>
      <c r="G999" s="393">
        <f>G1000</f>
        <v>4844.5</v>
      </c>
      <c r="H999" s="393">
        <f t="shared" ref="H999" si="447">H1000</f>
        <v>4771.8419999999996</v>
      </c>
      <c r="I999" s="393">
        <f t="shared" si="436"/>
        <v>98.500196098668596</v>
      </c>
      <c r="J999" s="413"/>
      <c r="K999" s="401"/>
    </row>
    <row r="1000" spans="1:12" ht="15.75" x14ac:dyDescent="0.25">
      <c r="A1000" s="29" t="s">
        <v>511</v>
      </c>
      <c r="B1000" s="390">
        <v>908</v>
      </c>
      <c r="C1000" s="392" t="s">
        <v>150</v>
      </c>
      <c r="D1000" s="392" t="s">
        <v>219</v>
      </c>
      <c r="E1000" s="399" t="s">
        <v>1001</v>
      </c>
      <c r="F1000" s="392"/>
      <c r="G1000" s="397">
        <f>G1003+G1005+G1001</f>
        <v>4844.5</v>
      </c>
      <c r="H1000" s="397">
        <f t="shared" ref="H1000" si="448">H1003+H1005+H1001</f>
        <v>4771.8419999999996</v>
      </c>
      <c r="I1000" s="397">
        <f t="shared" si="436"/>
        <v>98.500196098668596</v>
      </c>
      <c r="J1000" s="413"/>
      <c r="K1000" s="401"/>
      <c r="L1000" s="192"/>
    </row>
    <row r="1001" spans="1:12" s="192" customFormat="1" ht="63" x14ac:dyDescent="0.25">
      <c r="A1001" s="396" t="s">
        <v>127</v>
      </c>
      <c r="B1001" s="390">
        <v>908</v>
      </c>
      <c r="C1001" s="392" t="s">
        <v>150</v>
      </c>
      <c r="D1001" s="392" t="s">
        <v>219</v>
      </c>
      <c r="E1001" s="399" t="s">
        <v>1001</v>
      </c>
      <c r="F1001" s="392" t="s">
        <v>128</v>
      </c>
      <c r="G1001" s="397">
        <f>G1002</f>
        <v>2367.8000000000002</v>
      </c>
      <c r="H1001" s="397">
        <f t="shared" ref="H1001" si="449">H1002</f>
        <v>2365.3429999999998</v>
      </c>
      <c r="I1001" s="397">
        <f t="shared" si="436"/>
        <v>99.896232789931574</v>
      </c>
      <c r="J1001" s="413"/>
      <c r="K1001" s="401"/>
    </row>
    <row r="1002" spans="1:12" s="192" customFormat="1" ht="15.75" x14ac:dyDescent="0.25">
      <c r="A1002" s="396" t="s">
        <v>342</v>
      </c>
      <c r="B1002" s="390">
        <v>908</v>
      </c>
      <c r="C1002" s="392" t="s">
        <v>150</v>
      </c>
      <c r="D1002" s="392" t="s">
        <v>219</v>
      </c>
      <c r="E1002" s="399" t="s">
        <v>1001</v>
      </c>
      <c r="F1002" s="392" t="s">
        <v>209</v>
      </c>
      <c r="G1002" s="397">
        <f>1807+400+160.8</f>
        <v>2367.8000000000002</v>
      </c>
      <c r="H1002" s="397">
        <v>2365.3429999999998</v>
      </c>
      <c r="I1002" s="397">
        <f t="shared" si="436"/>
        <v>99.896232789931574</v>
      </c>
      <c r="J1002" s="413"/>
      <c r="K1002" s="401"/>
    </row>
    <row r="1003" spans="1:12" ht="31.5" x14ac:dyDescent="0.25">
      <c r="A1003" s="396" t="s">
        <v>131</v>
      </c>
      <c r="B1003" s="390">
        <v>908</v>
      </c>
      <c r="C1003" s="392" t="s">
        <v>150</v>
      </c>
      <c r="D1003" s="392" t="s">
        <v>219</v>
      </c>
      <c r="E1003" s="399" t="s">
        <v>1001</v>
      </c>
      <c r="F1003" s="392" t="s">
        <v>132</v>
      </c>
      <c r="G1003" s="397">
        <f>G1004</f>
        <v>2476.7000000000003</v>
      </c>
      <c r="H1003" s="397">
        <f t="shared" ref="H1003" si="450">H1004</f>
        <v>2406.4989999999998</v>
      </c>
      <c r="I1003" s="397">
        <f t="shared" si="436"/>
        <v>97.165542859450056</v>
      </c>
      <c r="J1003" s="413"/>
      <c r="K1003" s="401"/>
      <c r="L1003" s="192"/>
    </row>
    <row r="1004" spans="1:12" ht="31.5" x14ac:dyDescent="0.25">
      <c r="A1004" s="396" t="s">
        <v>133</v>
      </c>
      <c r="B1004" s="390">
        <v>908</v>
      </c>
      <c r="C1004" s="392" t="s">
        <v>150</v>
      </c>
      <c r="D1004" s="392" t="s">
        <v>219</v>
      </c>
      <c r="E1004" s="399" t="s">
        <v>1001</v>
      </c>
      <c r="F1004" s="392" t="s">
        <v>134</v>
      </c>
      <c r="G1004" s="397">
        <f>3600-1807-410.6-205.4-665+600+200+70+653.9+653.9+16-431.1+187.1+631.8-125-5-106.6-187.1-190.3-2.9</f>
        <v>2476.7000000000003</v>
      </c>
      <c r="H1004" s="397">
        <v>2406.4989999999998</v>
      </c>
      <c r="I1004" s="397">
        <f t="shared" si="436"/>
        <v>97.165542859450056</v>
      </c>
      <c r="J1004" s="413"/>
      <c r="K1004" s="401"/>
      <c r="L1004" s="192"/>
    </row>
    <row r="1005" spans="1:12" ht="15.75" hidden="1" x14ac:dyDescent="0.25">
      <c r="A1005" s="396" t="s">
        <v>135</v>
      </c>
      <c r="B1005" s="390">
        <v>908</v>
      </c>
      <c r="C1005" s="392" t="s">
        <v>150</v>
      </c>
      <c r="D1005" s="392" t="s">
        <v>219</v>
      </c>
      <c r="E1005" s="399" t="s">
        <v>1001</v>
      </c>
      <c r="F1005" s="392" t="s">
        <v>145</v>
      </c>
      <c r="G1005" s="397">
        <f>G1006</f>
        <v>0</v>
      </c>
      <c r="H1005" s="397">
        <f t="shared" ref="H1005" si="451">H1006</f>
        <v>0</v>
      </c>
      <c r="I1005" s="397" t="e">
        <f t="shared" si="436"/>
        <v>#DIV/0!</v>
      </c>
      <c r="J1005" s="413"/>
      <c r="K1005" s="401"/>
      <c r="L1005" s="192"/>
    </row>
    <row r="1006" spans="1:12" ht="15.75" hidden="1" x14ac:dyDescent="0.25">
      <c r="A1006" s="396" t="s">
        <v>568</v>
      </c>
      <c r="B1006" s="390">
        <v>908</v>
      </c>
      <c r="C1006" s="392" t="s">
        <v>150</v>
      </c>
      <c r="D1006" s="392" t="s">
        <v>219</v>
      </c>
      <c r="E1006" s="399" t="s">
        <v>1001</v>
      </c>
      <c r="F1006" s="392" t="s">
        <v>138</v>
      </c>
      <c r="G1006" s="397">
        <v>0</v>
      </c>
      <c r="H1006" s="397">
        <v>0</v>
      </c>
      <c r="I1006" s="397" t="e">
        <f t="shared" si="436"/>
        <v>#DIV/0!</v>
      </c>
      <c r="J1006" s="413"/>
      <c r="K1006" s="401"/>
      <c r="L1006" s="192"/>
    </row>
    <row r="1007" spans="1:12" ht="15.75" x14ac:dyDescent="0.25">
      <c r="A1007" s="394" t="s">
        <v>390</v>
      </c>
      <c r="B1007" s="391">
        <v>908</v>
      </c>
      <c r="C1007" s="395" t="s">
        <v>234</v>
      </c>
      <c r="D1007" s="395"/>
      <c r="E1007" s="395"/>
      <c r="F1007" s="395"/>
      <c r="G1007" s="393">
        <f>G1008+G1025+G1094+G1156</f>
        <v>201032.67168</v>
      </c>
      <c r="H1007" s="393">
        <f t="shared" ref="H1007" si="452">H1008+H1025+H1094+H1156</f>
        <v>192666.14300000001</v>
      </c>
      <c r="I1007" s="393">
        <f t="shared" si="436"/>
        <v>95.838224399008297</v>
      </c>
      <c r="J1007" s="413"/>
      <c r="K1007" s="401"/>
      <c r="L1007" s="192"/>
    </row>
    <row r="1008" spans="1:12" ht="15.75" x14ac:dyDescent="0.25">
      <c r="A1008" s="394" t="s">
        <v>391</v>
      </c>
      <c r="B1008" s="391">
        <v>908</v>
      </c>
      <c r="C1008" s="395" t="s">
        <v>234</v>
      </c>
      <c r="D1008" s="395" t="s">
        <v>118</v>
      </c>
      <c r="E1008" s="395"/>
      <c r="F1008" s="395"/>
      <c r="G1008" s="393">
        <f>G1009</f>
        <v>23523.803469999999</v>
      </c>
      <c r="H1008" s="393">
        <f t="shared" ref="H1008:H1009" si="453">H1009</f>
        <v>23116.483</v>
      </c>
      <c r="I1008" s="393">
        <f t="shared" si="436"/>
        <v>98.268475289213086</v>
      </c>
      <c r="J1008" s="413"/>
      <c r="K1008" s="401"/>
      <c r="L1008" s="192"/>
    </row>
    <row r="1009" spans="1:12" ht="15.75" x14ac:dyDescent="0.25">
      <c r="A1009" s="394" t="s">
        <v>141</v>
      </c>
      <c r="B1009" s="391">
        <v>908</v>
      </c>
      <c r="C1009" s="395" t="s">
        <v>234</v>
      </c>
      <c r="D1009" s="395" t="s">
        <v>118</v>
      </c>
      <c r="E1009" s="395" t="s">
        <v>865</v>
      </c>
      <c r="F1009" s="395"/>
      <c r="G1009" s="393">
        <f>G1010</f>
        <v>23523.803469999999</v>
      </c>
      <c r="H1009" s="393">
        <f t="shared" si="453"/>
        <v>23116.483</v>
      </c>
      <c r="I1009" s="393">
        <f t="shared" si="436"/>
        <v>98.268475289213086</v>
      </c>
      <c r="J1009" s="413"/>
      <c r="K1009" s="401"/>
      <c r="L1009" s="192"/>
    </row>
    <row r="1010" spans="1:12" ht="31.5" x14ac:dyDescent="0.25">
      <c r="A1010" s="394" t="s">
        <v>869</v>
      </c>
      <c r="B1010" s="391">
        <v>908</v>
      </c>
      <c r="C1010" s="395" t="s">
        <v>234</v>
      </c>
      <c r="D1010" s="395" t="s">
        <v>118</v>
      </c>
      <c r="E1010" s="395" t="s">
        <v>864</v>
      </c>
      <c r="F1010" s="395"/>
      <c r="G1010" s="393">
        <f>G1019+G1016+G1011+G1022</f>
        <v>23523.803469999999</v>
      </c>
      <c r="H1010" s="393">
        <f t="shared" ref="H1010" si="454">H1019+H1016+H1011+H1022</f>
        <v>23116.483</v>
      </c>
      <c r="I1010" s="393">
        <f t="shared" si="436"/>
        <v>98.268475289213086</v>
      </c>
      <c r="J1010" s="413"/>
      <c r="K1010" s="401"/>
      <c r="L1010" s="192"/>
    </row>
    <row r="1011" spans="1:12" ht="15.75" x14ac:dyDescent="0.25">
      <c r="A1011" s="396" t="s">
        <v>515</v>
      </c>
      <c r="B1011" s="390">
        <v>908</v>
      </c>
      <c r="C1011" s="392" t="s">
        <v>774</v>
      </c>
      <c r="D1011" s="392" t="s">
        <v>118</v>
      </c>
      <c r="E1011" s="392" t="s">
        <v>959</v>
      </c>
      <c r="F1011" s="395"/>
      <c r="G1011" s="397">
        <f>G1014+G1012</f>
        <v>883.40000000000009</v>
      </c>
      <c r="H1011" s="397">
        <f t="shared" ref="H1011" si="455">H1014+H1012</f>
        <v>687.2</v>
      </c>
      <c r="I1011" s="397">
        <f t="shared" si="436"/>
        <v>77.790355444872077</v>
      </c>
      <c r="J1011" s="413"/>
      <c r="K1011" s="401"/>
      <c r="L1011" s="192"/>
    </row>
    <row r="1012" spans="1:12" s="192" customFormat="1" ht="31.5" x14ac:dyDescent="0.25">
      <c r="A1012" s="396" t="s">
        <v>131</v>
      </c>
      <c r="B1012" s="390">
        <v>908</v>
      </c>
      <c r="C1012" s="392" t="s">
        <v>234</v>
      </c>
      <c r="D1012" s="392" t="s">
        <v>118</v>
      </c>
      <c r="E1012" s="392" t="s">
        <v>959</v>
      </c>
      <c r="F1012" s="392" t="s">
        <v>132</v>
      </c>
      <c r="G1012" s="397">
        <f>G1013</f>
        <v>883.40000000000009</v>
      </c>
      <c r="H1012" s="397">
        <f t="shared" ref="H1012" si="456">H1013</f>
        <v>687.2</v>
      </c>
      <c r="I1012" s="397">
        <f t="shared" si="436"/>
        <v>77.790355444872077</v>
      </c>
      <c r="J1012" s="413"/>
      <c r="K1012" s="401"/>
    </row>
    <row r="1013" spans="1:12" s="192" customFormat="1" ht="31.5" x14ac:dyDescent="0.25">
      <c r="A1013" s="396" t="s">
        <v>133</v>
      </c>
      <c r="B1013" s="390">
        <v>908</v>
      </c>
      <c r="C1013" s="392" t="s">
        <v>234</v>
      </c>
      <c r="D1013" s="392" t="s">
        <v>118</v>
      </c>
      <c r="E1013" s="392" t="s">
        <v>959</v>
      </c>
      <c r="F1013" s="392" t="s">
        <v>134</v>
      </c>
      <c r="G1013" s="397">
        <f>75+30+75+264+196.2+357.2-111.6-47.4-5+50</f>
        <v>883.40000000000009</v>
      </c>
      <c r="H1013" s="397">
        <v>687.2</v>
      </c>
      <c r="I1013" s="397">
        <f t="shared" si="436"/>
        <v>77.790355444872077</v>
      </c>
      <c r="J1013" s="413"/>
      <c r="K1013" s="401"/>
    </row>
    <row r="1014" spans="1:12" ht="15.75" hidden="1" x14ac:dyDescent="0.25">
      <c r="A1014" s="396" t="s">
        <v>135</v>
      </c>
      <c r="B1014" s="390">
        <v>908</v>
      </c>
      <c r="C1014" s="392" t="s">
        <v>234</v>
      </c>
      <c r="D1014" s="392" t="s">
        <v>118</v>
      </c>
      <c r="E1014" s="392" t="s">
        <v>959</v>
      </c>
      <c r="F1014" s="392" t="s">
        <v>145</v>
      </c>
      <c r="G1014" s="397">
        <f>G1015</f>
        <v>0</v>
      </c>
      <c r="H1014" s="397">
        <f t="shared" ref="H1014" si="457">H1015</f>
        <v>0</v>
      </c>
      <c r="I1014" s="397" t="e">
        <f t="shared" si="436"/>
        <v>#DIV/0!</v>
      </c>
      <c r="J1014" s="413"/>
      <c r="K1014" s="401"/>
      <c r="L1014" s="192"/>
    </row>
    <row r="1015" spans="1:12" ht="48.75" hidden="1" customHeight="1" x14ac:dyDescent="0.25">
      <c r="A1015" s="396" t="s">
        <v>184</v>
      </c>
      <c r="B1015" s="390">
        <v>908</v>
      </c>
      <c r="C1015" s="392" t="s">
        <v>234</v>
      </c>
      <c r="D1015" s="392" t="s">
        <v>118</v>
      </c>
      <c r="E1015" s="392" t="s">
        <v>959</v>
      </c>
      <c r="F1015" s="392" t="s">
        <v>160</v>
      </c>
      <c r="G1015" s="397"/>
      <c r="H1015" s="397"/>
      <c r="I1015" s="397" t="e">
        <f t="shared" si="436"/>
        <v>#DIV/0!</v>
      </c>
      <c r="J1015" s="413"/>
      <c r="K1015" s="401"/>
      <c r="L1015" s="192"/>
    </row>
    <row r="1016" spans="1:12" ht="31.5" x14ac:dyDescent="0.25">
      <c r="A1016" s="29" t="s">
        <v>398</v>
      </c>
      <c r="B1016" s="390">
        <v>908</v>
      </c>
      <c r="C1016" s="392" t="s">
        <v>234</v>
      </c>
      <c r="D1016" s="392" t="s">
        <v>118</v>
      </c>
      <c r="E1016" s="392" t="s">
        <v>960</v>
      </c>
      <c r="F1016" s="395"/>
      <c r="G1016" s="397">
        <f>G1017</f>
        <v>4650</v>
      </c>
      <c r="H1016" s="397">
        <f t="shared" ref="H1016:H1017" si="458">H1017</f>
        <v>4439.009</v>
      </c>
      <c r="I1016" s="397">
        <f t="shared" si="436"/>
        <v>95.462559139784943</v>
      </c>
      <c r="J1016" s="413"/>
      <c r="K1016" s="401"/>
      <c r="L1016" s="192"/>
    </row>
    <row r="1017" spans="1:12" ht="31.5" x14ac:dyDescent="0.25">
      <c r="A1017" s="396" t="s">
        <v>131</v>
      </c>
      <c r="B1017" s="390">
        <v>908</v>
      </c>
      <c r="C1017" s="392" t="s">
        <v>234</v>
      </c>
      <c r="D1017" s="392" t="s">
        <v>118</v>
      </c>
      <c r="E1017" s="392" t="s">
        <v>960</v>
      </c>
      <c r="F1017" s="392" t="s">
        <v>132</v>
      </c>
      <c r="G1017" s="397">
        <f>G1018</f>
        <v>4650</v>
      </c>
      <c r="H1017" s="397">
        <f t="shared" si="458"/>
        <v>4439.009</v>
      </c>
      <c r="I1017" s="397">
        <f t="shared" si="436"/>
        <v>95.462559139784943</v>
      </c>
      <c r="J1017" s="413"/>
      <c r="K1017" s="401"/>
      <c r="L1017" s="192"/>
    </row>
    <row r="1018" spans="1:12" ht="33" customHeight="1" x14ac:dyDescent="0.25">
      <c r="A1018" s="396" t="s">
        <v>133</v>
      </c>
      <c r="B1018" s="390">
        <v>908</v>
      </c>
      <c r="C1018" s="392" t="s">
        <v>234</v>
      </c>
      <c r="D1018" s="392" t="s">
        <v>118</v>
      </c>
      <c r="E1018" s="392" t="s">
        <v>960</v>
      </c>
      <c r="F1018" s="392" t="s">
        <v>134</v>
      </c>
      <c r="G1018" s="495">
        <v>4650</v>
      </c>
      <c r="H1018" s="27">
        <v>4439.009</v>
      </c>
      <c r="I1018" s="397">
        <f t="shared" si="436"/>
        <v>95.462559139784943</v>
      </c>
      <c r="J1018" s="413"/>
      <c r="K1018" s="401"/>
      <c r="L1018" s="192"/>
    </row>
    <row r="1019" spans="1:12" ht="31.5" x14ac:dyDescent="0.25">
      <c r="A1019" s="29" t="s">
        <v>931</v>
      </c>
      <c r="B1019" s="390">
        <v>908</v>
      </c>
      <c r="C1019" s="392" t="s">
        <v>234</v>
      </c>
      <c r="D1019" s="392" t="s">
        <v>118</v>
      </c>
      <c r="E1019" s="392" t="s">
        <v>961</v>
      </c>
      <c r="F1019" s="395"/>
      <c r="G1019" s="480">
        <f>G1020</f>
        <v>1141.3000000000002</v>
      </c>
      <c r="H1019" s="397">
        <f t="shared" ref="H1019:H1020" si="459">H1020</f>
        <v>1141.261</v>
      </c>
      <c r="I1019" s="397">
        <f t="shared" si="436"/>
        <v>99.996582844125101</v>
      </c>
      <c r="J1019" s="413"/>
      <c r="K1019" s="401"/>
      <c r="L1019" s="192"/>
    </row>
    <row r="1020" spans="1:12" ht="31.5" x14ac:dyDescent="0.25">
      <c r="A1020" s="396" t="s">
        <v>131</v>
      </c>
      <c r="B1020" s="390">
        <v>908</v>
      </c>
      <c r="C1020" s="392" t="s">
        <v>234</v>
      </c>
      <c r="D1020" s="392" t="s">
        <v>118</v>
      </c>
      <c r="E1020" s="392" t="s">
        <v>961</v>
      </c>
      <c r="F1020" s="392" t="s">
        <v>132</v>
      </c>
      <c r="G1020" s="480">
        <f>G1021</f>
        <v>1141.3000000000002</v>
      </c>
      <c r="H1020" s="397">
        <f t="shared" si="459"/>
        <v>1141.261</v>
      </c>
      <c r="I1020" s="397">
        <f t="shared" si="436"/>
        <v>99.996582844125101</v>
      </c>
      <c r="J1020" s="413"/>
      <c r="K1020" s="401"/>
      <c r="L1020" s="192"/>
    </row>
    <row r="1021" spans="1:12" ht="33" customHeight="1" x14ac:dyDescent="0.25">
      <c r="A1021" s="396" t="s">
        <v>133</v>
      </c>
      <c r="B1021" s="390">
        <v>908</v>
      </c>
      <c r="C1021" s="392" t="s">
        <v>234</v>
      </c>
      <c r="D1021" s="392" t="s">
        <v>118</v>
      </c>
      <c r="E1021" s="392" t="s">
        <v>961</v>
      </c>
      <c r="F1021" s="392" t="s">
        <v>134</v>
      </c>
      <c r="G1021" s="480">
        <f>1140-395.8+397.1</f>
        <v>1141.3000000000002</v>
      </c>
      <c r="H1021" s="397">
        <v>1141.261</v>
      </c>
      <c r="I1021" s="397">
        <f t="shared" si="436"/>
        <v>99.996582844125101</v>
      </c>
      <c r="J1021" s="413"/>
      <c r="K1021" s="401"/>
      <c r="L1021" s="424"/>
    </row>
    <row r="1022" spans="1:12" s="192" customFormat="1" ht="33" customHeight="1" x14ac:dyDescent="0.25">
      <c r="A1022" s="396" t="s">
        <v>1540</v>
      </c>
      <c r="B1022" s="390">
        <v>908</v>
      </c>
      <c r="C1022" s="392" t="s">
        <v>234</v>
      </c>
      <c r="D1022" s="392" t="s">
        <v>118</v>
      </c>
      <c r="E1022" s="392" t="s">
        <v>1541</v>
      </c>
      <c r="F1022" s="392"/>
      <c r="G1022" s="397">
        <f>G1023</f>
        <v>16849.103469999998</v>
      </c>
      <c r="H1022" s="397">
        <f t="shared" ref="H1022:H1023" si="460">H1023</f>
        <v>16849.012999999999</v>
      </c>
      <c r="I1022" s="397">
        <f t="shared" si="436"/>
        <v>99.999463057484576</v>
      </c>
      <c r="J1022" s="413"/>
      <c r="K1022" s="401"/>
    </row>
    <row r="1023" spans="1:12" s="192" customFormat="1" ht="33" customHeight="1" x14ac:dyDescent="0.25">
      <c r="A1023" s="396" t="s">
        <v>131</v>
      </c>
      <c r="B1023" s="390">
        <v>908</v>
      </c>
      <c r="C1023" s="392" t="s">
        <v>234</v>
      </c>
      <c r="D1023" s="392" t="s">
        <v>118</v>
      </c>
      <c r="E1023" s="392" t="s">
        <v>1541</v>
      </c>
      <c r="F1023" s="392" t="s">
        <v>132</v>
      </c>
      <c r="G1023" s="397">
        <f>G1024</f>
        <v>16849.103469999998</v>
      </c>
      <c r="H1023" s="397">
        <f t="shared" si="460"/>
        <v>16849.012999999999</v>
      </c>
      <c r="I1023" s="397">
        <f t="shared" si="436"/>
        <v>99.999463057484576</v>
      </c>
      <c r="J1023" s="413"/>
      <c r="K1023" s="401"/>
    </row>
    <row r="1024" spans="1:12" s="192" customFormat="1" ht="33" customHeight="1" x14ac:dyDescent="0.25">
      <c r="A1024" s="396" t="s">
        <v>133</v>
      </c>
      <c r="B1024" s="390">
        <v>908</v>
      </c>
      <c r="C1024" s="392" t="s">
        <v>234</v>
      </c>
      <c r="D1024" s="392" t="s">
        <v>118</v>
      </c>
      <c r="E1024" s="392" t="s">
        <v>1541</v>
      </c>
      <c r="F1024" s="392" t="s">
        <v>134</v>
      </c>
      <c r="G1024" s="397">
        <f>16158.4+690.8+700-700+0.1-0.19653</f>
        <v>16849.103469999998</v>
      </c>
      <c r="H1024" s="397">
        <v>16849.012999999999</v>
      </c>
      <c r="I1024" s="397">
        <f t="shared" si="436"/>
        <v>99.999463057484576</v>
      </c>
      <c r="J1024" s="413"/>
      <c r="K1024" s="413"/>
    </row>
    <row r="1025" spans="1:15" ht="15.75" x14ac:dyDescent="0.25">
      <c r="A1025" s="394" t="s">
        <v>517</v>
      </c>
      <c r="B1025" s="391">
        <v>908</v>
      </c>
      <c r="C1025" s="395" t="s">
        <v>234</v>
      </c>
      <c r="D1025" s="395" t="s">
        <v>213</v>
      </c>
      <c r="E1025" s="395"/>
      <c r="F1025" s="395"/>
      <c r="G1025" s="393">
        <f>G1026+G1056+G1089</f>
        <v>92512.65241000001</v>
      </c>
      <c r="H1025" s="393">
        <f t="shared" ref="H1025" si="461">H1026+H1056+H1089</f>
        <v>87376.1</v>
      </c>
      <c r="I1025" s="393">
        <f t="shared" si="436"/>
        <v>94.4477298226888</v>
      </c>
      <c r="J1025" s="413"/>
      <c r="K1025" s="401"/>
      <c r="L1025" s="192"/>
    </row>
    <row r="1026" spans="1:15" s="192" customFormat="1" ht="15.75" x14ac:dyDescent="0.25">
      <c r="A1026" s="394" t="s">
        <v>141</v>
      </c>
      <c r="B1026" s="391">
        <v>908</v>
      </c>
      <c r="C1026" s="395" t="s">
        <v>234</v>
      </c>
      <c r="D1026" s="395" t="s">
        <v>213</v>
      </c>
      <c r="E1026" s="395" t="s">
        <v>865</v>
      </c>
      <c r="F1026" s="395"/>
      <c r="G1026" s="393">
        <f>G1027+G1039</f>
        <v>35452.059700000005</v>
      </c>
      <c r="H1026" s="393">
        <f t="shared" ref="H1026" si="462">H1027+H1039</f>
        <v>30413.119999999999</v>
      </c>
      <c r="I1026" s="393">
        <f t="shared" si="436"/>
        <v>85.78660945897029</v>
      </c>
      <c r="J1026" s="413"/>
      <c r="K1026" s="401"/>
    </row>
    <row r="1027" spans="1:15" s="192" customFormat="1" ht="31.5" x14ac:dyDescent="0.25">
      <c r="A1027" s="394" t="s">
        <v>869</v>
      </c>
      <c r="B1027" s="391">
        <v>908</v>
      </c>
      <c r="C1027" s="395" t="s">
        <v>234</v>
      </c>
      <c r="D1027" s="395" t="s">
        <v>213</v>
      </c>
      <c r="E1027" s="395" t="s">
        <v>864</v>
      </c>
      <c r="F1027" s="395"/>
      <c r="G1027" s="393">
        <f>G1028+G1034</f>
        <v>30145.010000000002</v>
      </c>
      <c r="H1027" s="393">
        <f t="shared" ref="H1027" si="463">H1028+H1034</f>
        <v>25106.071</v>
      </c>
      <c r="I1027" s="393">
        <f t="shared" si="436"/>
        <v>83.28433462121923</v>
      </c>
      <c r="J1027" s="413"/>
      <c r="K1027" s="401"/>
    </row>
    <row r="1028" spans="1:15" s="192" customFormat="1" ht="15.75" x14ac:dyDescent="0.25">
      <c r="A1028" s="35" t="s">
        <v>537</v>
      </c>
      <c r="B1028" s="390">
        <v>908</v>
      </c>
      <c r="C1028" s="392" t="s">
        <v>234</v>
      </c>
      <c r="D1028" s="392" t="s">
        <v>213</v>
      </c>
      <c r="E1028" s="392" t="s">
        <v>978</v>
      </c>
      <c r="F1028" s="392"/>
      <c r="G1028" s="397">
        <f>G1029</f>
        <v>7029.3000000000029</v>
      </c>
      <c r="H1028" s="397">
        <f t="shared" ref="H1028:H1029" si="464">H1029</f>
        <v>1990.38</v>
      </c>
      <c r="I1028" s="397">
        <f t="shared" si="436"/>
        <v>28.315479492979378</v>
      </c>
      <c r="J1028" s="413"/>
      <c r="K1028" s="401"/>
    </row>
    <row r="1029" spans="1:15" s="192" customFormat="1" ht="31.5" x14ac:dyDescent="0.25">
      <c r="A1029" s="396" t="s">
        <v>131</v>
      </c>
      <c r="B1029" s="390">
        <v>908</v>
      </c>
      <c r="C1029" s="392" t="s">
        <v>234</v>
      </c>
      <c r="D1029" s="392" t="s">
        <v>213</v>
      </c>
      <c r="E1029" s="392" t="s">
        <v>978</v>
      </c>
      <c r="F1029" s="392" t="s">
        <v>132</v>
      </c>
      <c r="G1029" s="397">
        <f>G1030</f>
        <v>7029.3000000000029</v>
      </c>
      <c r="H1029" s="397">
        <f t="shared" si="464"/>
        <v>1990.38</v>
      </c>
      <c r="I1029" s="397">
        <f t="shared" si="436"/>
        <v>28.315479492979378</v>
      </c>
      <c r="J1029" s="413"/>
      <c r="K1029" s="401"/>
    </row>
    <row r="1030" spans="1:15" s="192" customFormat="1" ht="31.5" x14ac:dyDescent="0.25">
      <c r="A1030" s="396" t="s">
        <v>133</v>
      </c>
      <c r="B1030" s="390">
        <v>908</v>
      </c>
      <c r="C1030" s="392" t="s">
        <v>234</v>
      </c>
      <c r="D1030" s="392" t="s">
        <v>213</v>
      </c>
      <c r="E1030" s="392" t="s">
        <v>978</v>
      </c>
      <c r="F1030" s="392" t="s">
        <v>134</v>
      </c>
      <c r="G1030" s="453">
        <f>300+590+3249+661-1515.1-130+1336-3943.5+16800+1336-148.5+144.9+2000+1000+4000+1500-177+92.95+232.05+14-3300-800-10922.9+60-141.5-111.2-838.4+3547-4258.5-3547</f>
        <v>7029.3000000000029</v>
      </c>
      <c r="H1030" s="453">
        <v>1990.38</v>
      </c>
      <c r="I1030" s="397">
        <f t="shared" si="436"/>
        <v>28.315479492979378</v>
      </c>
      <c r="J1030" s="413"/>
      <c r="K1030" s="421"/>
    </row>
    <row r="1031" spans="1:15" s="192" customFormat="1" ht="15.75" hidden="1" x14ac:dyDescent="0.25">
      <c r="A1031" s="396" t="s">
        <v>135</v>
      </c>
      <c r="B1031" s="390">
        <v>908</v>
      </c>
      <c r="C1031" s="392" t="s">
        <v>234</v>
      </c>
      <c r="D1031" s="392" t="s">
        <v>213</v>
      </c>
      <c r="E1031" s="392" t="s">
        <v>978</v>
      </c>
      <c r="F1031" s="392" t="s">
        <v>145</v>
      </c>
      <c r="G1031" s="453">
        <f>G1032+G1033</f>
        <v>0</v>
      </c>
      <c r="H1031" s="453">
        <f t="shared" ref="H1031" si="465">H1032+H1033</f>
        <v>0</v>
      </c>
      <c r="I1031" s="397" t="e">
        <f t="shared" si="436"/>
        <v>#DIV/0!</v>
      </c>
      <c r="J1031" s="413"/>
      <c r="K1031" s="401"/>
    </row>
    <row r="1032" spans="1:15" s="192" customFormat="1" ht="47.25" hidden="1" x14ac:dyDescent="0.25">
      <c r="A1032" s="396" t="s">
        <v>184</v>
      </c>
      <c r="B1032" s="390">
        <v>908</v>
      </c>
      <c r="C1032" s="392" t="s">
        <v>234</v>
      </c>
      <c r="D1032" s="392" t="s">
        <v>213</v>
      </c>
      <c r="E1032" s="392" t="s">
        <v>978</v>
      </c>
      <c r="F1032" s="392" t="s">
        <v>160</v>
      </c>
      <c r="G1032" s="453">
        <v>0</v>
      </c>
      <c r="H1032" s="453">
        <v>0</v>
      </c>
      <c r="I1032" s="397" t="e">
        <f t="shared" si="436"/>
        <v>#DIV/0!</v>
      </c>
      <c r="J1032" s="413"/>
      <c r="K1032" s="401"/>
    </row>
    <row r="1033" spans="1:15" s="192" customFormat="1" ht="15.75" hidden="1" x14ac:dyDescent="0.25">
      <c r="A1033" s="396" t="s">
        <v>146</v>
      </c>
      <c r="B1033" s="390">
        <v>908</v>
      </c>
      <c r="C1033" s="392" t="s">
        <v>234</v>
      </c>
      <c r="D1033" s="392" t="s">
        <v>213</v>
      </c>
      <c r="E1033" s="392" t="s">
        <v>978</v>
      </c>
      <c r="F1033" s="392" t="s">
        <v>147</v>
      </c>
      <c r="G1033" s="453">
        <v>0</v>
      </c>
      <c r="H1033" s="453">
        <v>0</v>
      </c>
      <c r="I1033" s="397" t="e">
        <f t="shared" si="436"/>
        <v>#DIV/0!</v>
      </c>
      <c r="J1033" s="413"/>
      <c r="K1033" s="401"/>
    </row>
    <row r="1034" spans="1:15" s="192" customFormat="1" ht="31.5" x14ac:dyDescent="0.25">
      <c r="A1034" s="29" t="s">
        <v>931</v>
      </c>
      <c r="B1034" s="390">
        <v>908</v>
      </c>
      <c r="C1034" s="392" t="s">
        <v>234</v>
      </c>
      <c r="D1034" s="392" t="s">
        <v>213</v>
      </c>
      <c r="E1034" s="392" t="s">
        <v>961</v>
      </c>
      <c r="F1034" s="392"/>
      <c r="G1034" s="397">
        <f>G1037+G1035</f>
        <v>23115.71</v>
      </c>
      <c r="H1034" s="397">
        <f t="shared" ref="H1034" si="466">H1037+H1035</f>
        <v>23115.690999999999</v>
      </c>
      <c r="I1034" s="397">
        <f t="shared" ref="I1034:I1097" si="467">H1034/G1034*100</f>
        <v>99.999917804817585</v>
      </c>
      <c r="J1034" s="413"/>
      <c r="K1034" s="401"/>
    </row>
    <row r="1035" spans="1:15" s="192" customFormat="1" ht="31.5" x14ac:dyDescent="0.25">
      <c r="A1035" s="396" t="s">
        <v>131</v>
      </c>
      <c r="B1035" s="390">
        <v>908</v>
      </c>
      <c r="C1035" s="392" t="s">
        <v>234</v>
      </c>
      <c r="D1035" s="392" t="s">
        <v>213</v>
      </c>
      <c r="E1035" s="392" t="s">
        <v>961</v>
      </c>
      <c r="F1035" s="392" t="s">
        <v>132</v>
      </c>
      <c r="G1035" s="397">
        <f>G1036</f>
        <v>23065.71</v>
      </c>
      <c r="H1035" s="397">
        <f t="shared" ref="H1035" si="468">H1036</f>
        <v>23065.690999999999</v>
      </c>
      <c r="I1035" s="397">
        <f t="shared" si="467"/>
        <v>99.999917626641448</v>
      </c>
      <c r="J1035" s="413"/>
      <c r="K1035" s="401"/>
    </row>
    <row r="1036" spans="1:15" s="192" customFormat="1" ht="31.5" x14ac:dyDescent="0.25">
      <c r="A1036" s="396" t="s">
        <v>133</v>
      </c>
      <c r="B1036" s="390">
        <v>908</v>
      </c>
      <c r="C1036" s="392" t="s">
        <v>234</v>
      </c>
      <c r="D1036" s="392" t="s">
        <v>213</v>
      </c>
      <c r="E1036" s="392" t="s">
        <v>961</v>
      </c>
      <c r="F1036" s="392" t="s">
        <v>134</v>
      </c>
      <c r="G1036" s="397">
        <f>10000-1000-2446.4+234.41+13242.4-5000+4745.3-50-450+3790</f>
        <v>23065.71</v>
      </c>
      <c r="H1036" s="397">
        <v>23065.690999999999</v>
      </c>
      <c r="I1036" s="397">
        <f t="shared" si="467"/>
        <v>99.999917626641448</v>
      </c>
      <c r="J1036" s="413"/>
      <c r="K1036" s="401"/>
    </row>
    <row r="1037" spans="1:15" s="192" customFormat="1" ht="15.75" x14ac:dyDescent="0.25">
      <c r="A1037" s="396" t="s">
        <v>135</v>
      </c>
      <c r="B1037" s="390">
        <v>908</v>
      </c>
      <c r="C1037" s="392" t="s">
        <v>234</v>
      </c>
      <c r="D1037" s="392" t="s">
        <v>213</v>
      </c>
      <c r="E1037" s="392" t="s">
        <v>961</v>
      </c>
      <c r="F1037" s="392" t="s">
        <v>145</v>
      </c>
      <c r="G1037" s="397">
        <f>G1038</f>
        <v>50</v>
      </c>
      <c r="H1037" s="397">
        <f t="shared" ref="H1037" si="469">H1038</f>
        <v>50</v>
      </c>
      <c r="I1037" s="397">
        <f t="shared" si="467"/>
        <v>100</v>
      </c>
      <c r="J1037" s="413"/>
      <c r="K1037" s="401"/>
    </row>
    <row r="1038" spans="1:15" ht="15.75" x14ac:dyDescent="0.25">
      <c r="A1038" s="396" t="s">
        <v>146</v>
      </c>
      <c r="B1038" s="390">
        <v>908</v>
      </c>
      <c r="C1038" s="392" t="s">
        <v>234</v>
      </c>
      <c r="D1038" s="392" t="s">
        <v>213</v>
      </c>
      <c r="E1038" s="392" t="s">
        <v>961</v>
      </c>
      <c r="F1038" s="392" t="s">
        <v>147</v>
      </c>
      <c r="G1038" s="397">
        <v>50</v>
      </c>
      <c r="H1038" s="397">
        <v>50</v>
      </c>
      <c r="I1038" s="397">
        <f t="shared" si="467"/>
        <v>100</v>
      </c>
      <c r="J1038" s="413"/>
      <c r="K1038" s="401"/>
      <c r="L1038" s="192"/>
    </row>
    <row r="1039" spans="1:15" s="192" customFormat="1" ht="48.75" customHeight="1" x14ac:dyDescent="0.25">
      <c r="A1039" s="394" t="s">
        <v>1012</v>
      </c>
      <c r="B1039" s="391">
        <v>908</v>
      </c>
      <c r="C1039" s="395" t="s">
        <v>234</v>
      </c>
      <c r="D1039" s="395" t="s">
        <v>213</v>
      </c>
      <c r="E1039" s="395" t="s">
        <v>979</v>
      </c>
      <c r="F1039" s="395"/>
      <c r="G1039" s="393">
        <f>G1040+G1048+G1045+G1053</f>
        <v>5307.0497000000032</v>
      </c>
      <c r="H1039" s="393">
        <f t="shared" ref="H1039" si="470">H1040+H1048+H1045+H1053</f>
        <v>5307.049</v>
      </c>
      <c r="I1039" s="393">
        <f t="shared" si="467"/>
        <v>99.99998680999721</v>
      </c>
      <c r="J1039" s="413"/>
      <c r="K1039" s="401"/>
    </row>
    <row r="1040" spans="1:15" s="192" customFormat="1" ht="35.450000000000003" customHeight="1" x14ac:dyDescent="0.25">
      <c r="A1040" s="396" t="s">
        <v>826</v>
      </c>
      <c r="B1040" s="390">
        <v>908</v>
      </c>
      <c r="C1040" s="392" t="s">
        <v>234</v>
      </c>
      <c r="D1040" s="392" t="s">
        <v>213</v>
      </c>
      <c r="E1040" s="392" t="s">
        <v>980</v>
      </c>
      <c r="F1040" s="392"/>
      <c r="G1040" s="397">
        <f>G1041+G1043</f>
        <v>5307.0497000000032</v>
      </c>
      <c r="H1040" s="397">
        <f t="shared" ref="H1040" si="471">H1041+H1043</f>
        <v>5307.049</v>
      </c>
      <c r="I1040" s="397">
        <f t="shared" si="467"/>
        <v>99.99998680999721</v>
      </c>
      <c r="J1040" s="413"/>
      <c r="K1040" s="401"/>
      <c r="L1040" s="401"/>
      <c r="M1040" s="108"/>
      <c r="N1040" s="108"/>
      <c r="O1040" s="117"/>
    </row>
    <row r="1041" spans="1:15" s="192" customFormat="1" ht="34.5" customHeight="1" x14ac:dyDescent="0.25">
      <c r="A1041" s="396" t="s">
        <v>131</v>
      </c>
      <c r="B1041" s="390">
        <v>908</v>
      </c>
      <c r="C1041" s="392" t="s">
        <v>234</v>
      </c>
      <c r="D1041" s="392" t="s">
        <v>213</v>
      </c>
      <c r="E1041" s="392" t="s">
        <v>980</v>
      </c>
      <c r="F1041" s="392" t="s">
        <v>132</v>
      </c>
      <c r="G1041" s="397">
        <f>G1042</f>
        <v>5307.0497000000032</v>
      </c>
      <c r="H1041" s="397">
        <f t="shared" ref="H1041" si="472">H1042</f>
        <v>5307.049</v>
      </c>
      <c r="I1041" s="397">
        <f t="shared" si="467"/>
        <v>99.99998680999721</v>
      </c>
      <c r="J1041" s="413"/>
      <c r="K1041" s="401"/>
      <c r="L1041" s="401"/>
      <c r="M1041" s="108"/>
      <c r="N1041" s="108"/>
      <c r="O1041" s="117"/>
    </row>
    <row r="1042" spans="1:15" s="192" customFormat="1" ht="33" customHeight="1" x14ac:dyDescent="0.25">
      <c r="A1042" s="396" t="s">
        <v>133</v>
      </c>
      <c r="B1042" s="390">
        <v>908</v>
      </c>
      <c r="C1042" s="392" t="s">
        <v>234</v>
      </c>
      <c r="D1042" s="392" t="s">
        <v>213</v>
      </c>
      <c r="E1042" s="392" t="s">
        <v>980</v>
      </c>
      <c r="F1042" s="392" t="s">
        <v>134</v>
      </c>
      <c r="G1042" s="397">
        <f>44726.9+10922.9-50342.7503</f>
        <v>5307.0497000000032</v>
      </c>
      <c r="H1042" s="397">
        <v>5307.049</v>
      </c>
      <c r="I1042" s="397">
        <f t="shared" si="467"/>
        <v>99.99998680999721</v>
      </c>
      <c r="J1042" s="413"/>
      <c r="K1042" s="401"/>
      <c r="L1042" s="401"/>
      <c r="M1042" s="108"/>
      <c r="N1042" s="108"/>
      <c r="O1042" s="117"/>
    </row>
    <row r="1043" spans="1:15" s="192" customFormat="1" ht="20.25" hidden="1" customHeight="1" x14ac:dyDescent="0.25">
      <c r="A1043" s="396" t="s">
        <v>135</v>
      </c>
      <c r="B1043" s="390">
        <v>908</v>
      </c>
      <c r="C1043" s="392" t="s">
        <v>234</v>
      </c>
      <c r="D1043" s="392" t="s">
        <v>213</v>
      </c>
      <c r="E1043" s="392" t="s">
        <v>980</v>
      </c>
      <c r="F1043" s="392" t="s">
        <v>836</v>
      </c>
      <c r="G1043" s="397">
        <f>G1044</f>
        <v>0</v>
      </c>
      <c r="H1043" s="397">
        <f t="shared" ref="H1043" si="473">H1044</f>
        <v>0</v>
      </c>
      <c r="I1043" s="397" t="e">
        <f t="shared" si="467"/>
        <v>#DIV/0!</v>
      </c>
      <c r="J1043" s="413"/>
      <c r="K1043" s="117"/>
      <c r="L1043" s="401"/>
      <c r="M1043" s="108"/>
      <c r="N1043" s="108"/>
      <c r="O1043" s="108"/>
    </row>
    <row r="1044" spans="1:15" s="192" customFormat="1" ht="20.25" hidden="1" customHeight="1" x14ac:dyDescent="0.25">
      <c r="A1044" s="396" t="s">
        <v>568</v>
      </c>
      <c r="B1044" s="390">
        <v>908</v>
      </c>
      <c r="C1044" s="392" t="s">
        <v>234</v>
      </c>
      <c r="D1044" s="392" t="s">
        <v>213</v>
      </c>
      <c r="E1044" s="392" t="s">
        <v>980</v>
      </c>
      <c r="F1044" s="392" t="s">
        <v>1068</v>
      </c>
      <c r="G1044" s="397">
        <v>0</v>
      </c>
      <c r="H1044" s="397">
        <v>0</v>
      </c>
      <c r="I1044" s="397" t="e">
        <f t="shared" si="467"/>
        <v>#DIV/0!</v>
      </c>
      <c r="J1044" s="413"/>
      <c r="K1044" s="117"/>
      <c r="L1044" s="401"/>
      <c r="M1044" s="108"/>
      <c r="N1044" s="108"/>
      <c r="O1044" s="108"/>
    </row>
    <row r="1045" spans="1:15" s="192" customFormat="1" ht="47.25" hidden="1" customHeight="1" x14ac:dyDescent="0.25">
      <c r="A1045" s="396" t="s">
        <v>793</v>
      </c>
      <c r="B1045" s="390">
        <v>908</v>
      </c>
      <c r="C1045" s="392" t="s">
        <v>234</v>
      </c>
      <c r="D1045" s="392" t="s">
        <v>213</v>
      </c>
      <c r="E1045" s="392" t="s">
        <v>981</v>
      </c>
      <c r="F1045" s="392"/>
      <c r="G1045" s="397">
        <f>G1046</f>
        <v>0</v>
      </c>
      <c r="H1045" s="397">
        <f t="shared" ref="H1045:H1046" si="474">H1046</f>
        <v>0</v>
      </c>
      <c r="I1045" s="397" t="e">
        <f t="shared" si="467"/>
        <v>#DIV/0!</v>
      </c>
      <c r="J1045" s="413"/>
      <c r="K1045" s="117"/>
      <c r="L1045" s="401"/>
      <c r="M1045" s="108"/>
      <c r="N1045" s="108"/>
      <c r="O1045" s="108"/>
    </row>
    <row r="1046" spans="1:15" s="192" customFormat="1" ht="33.75" hidden="1" customHeight="1" x14ac:dyDescent="0.25">
      <c r="A1046" s="396" t="s">
        <v>131</v>
      </c>
      <c r="B1046" s="390">
        <v>908</v>
      </c>
      <c r="C1046" s="392" t="s">
        <v>234</v>
      </c>
      <c r="D1046" s="392" t="s">
        <v>213</v>
      </c>
      <c r="E1046" s="392" t="s">
        <v>981</v>
      </c>
      <c r="F1046" s="392" t="s">
        <v>132</v>
      </c>
      <c r="G1046" s="397">
        <f>G1047</f>
        <v>0</v>
      </c>
      <c r="H1046" s="397">
        <f t="shared" si="474"/>
        <v>0</v>
      </c>
      <c r="I1046" s="397" t="e">
        <f t="shared" si="467"/>
        <v>#DIV/0!</v>
      </c>
      <c r="J1046" s="413"/>
      <c r="K1046" s="117"/>
      <c r="L1046" s="401"/>
      <c r="M1046" s="108"/>
      <c r="N1046" s="108"/>
      <c r="O1046" s="108"/>
    </row>
    <row r="1047" spans="1:15" s="192" customFormat="1" ht="32.25" hidden="1" customHeight="1" x14ac:dyDescent="0.25">
      <c r="A1047" s="396" t="s">
        <v>133</v>
      </c>
      <c r="B1047" s="390">
        <v>908</v>
      </c>
      <c r="C1047" s="392" t="s">
        <v>234</v>
      </c>
      <c r="D1047" s="392" t="s">
        <v>213</v>
      </c>
      <c r="E1047" s="392" t="s">
        <v>981</v>
      </c>
      <c r="F1047" s="392" t="s">
        <v>134</v>
      </c>
      <c r="G1047" s="397">
        <v>0</v>
      </c>
      <c r="H1047" s="397">
        <v>0</v>
      </c>
      <c r="I1047" s="397" t="e">
        <f t="shared" si="467"/>
        <v>#DIV/0!</v>
      </c>
      <c r="J1047" s="413"/>
      <c r="K1047" s="117"/>
      <c r="L1047" s="401"/>
      <c r="M1047" s="108"/>
      <c r="N1047" s="108"/>
      <c r="O1047" s="108"/>
    </row>
    <row r="1048" spans="1:15" s="192" customFormat="1" ht="47.25" hidden="1" customHeight="1" x14ac:dyDescent="0.25">
      <c r="A1048" s="97" t="s">
        <v>832</v>
      </c>
      <c r="B1048" s="390">
        <v>908</v>
      </c>
      <c r="C1048" s="392" t="s">
        <v>234</v>
      </c>
      <c r="D1048" s="392" t="s">
        <v>213</v>
      </c>
      <c r="E1048" s="392" t="s">
        <v>982</v>
      </c>
      <c r="F1048" s="392"/>
      <c r="G1048" s="397">
        <f>G1049+G1051</f>
        <v>0</v>
      </c>
      <c r="H1048" s="397">
        <f t="shared" ref="H1048" si="475">H1049+H1051</f>
        <v>0</v>
      </c>
      <c r="I1048" s="397" t="e">
        <f t="shared" si="467"/>
        <v>#DIV/0!</v>
      </c>
      <c r="J1048" s="413"/>
      <c r="K1048" s="117"/>
      <c r="L1048" s="401"/>
      <c r="M1048" s="108"/>
      <c r="N1048" s="108"/>
      <c r="O1048" s="108"/>
    </row>
    <row r="1049" spans="1:15" s="192" customFormat="1" ht="34.5" hidden="1" customHeight="1" x14ac:dyDescent="0.25">
      <c r="A1049" s="396" t="s">
        <v>837</v>
      </c>
      <c r="B1049" s="390">
        <v>908</v>
      </c>
      <c r="C1049" s="392" t="s">
        <v>234</v>
      </c>
      <c r="D1049" s="392" t="s">
        <v>213</v>
      </c>
      <c r="E1049" s="392" t="s">
        <v>982</v>
      </c>
      <c r="F1049" s="392" t="s">
        <v>836</v>
      </c>
      <c r="G1049" s="397">
        <f>G1050</f>
        <v>0</v>
      </c>
      <c r="H1049" s="397">
        <f t="shared" ref="H1049" si="476">H1050</f>
        <v>0</v>
      </c>
      <c r="I1049" s="397" t="e">
        <f t="shared" si="467"/>
        <v>#DIV/0!</v>
      </c>
      <c r="J1049" s="413"/>
      <c r="K1049" s="117"/>
      <c r="L1049" s="401"/>
      <c r="M1049" s="108"/>
      <c r="N1049" s="108"/>
      <c r="O1049" s="108"/>
    </row>
    <row r="1050" spans="1:15" s="192" customFormat="1" ht="47.25" hidden="1" customHeight="1" x14ac:dyDescent="0.25">
      <c r="A1050" s="396" t="s">
        <v>1049</v>
      </c>
      <c r="B1050" s="390">
        <v>908</v>
      </c>
      <c r="C1050" s="392" t="s">
        <v>234</v>
      </c>
      <c r="D1050" s="392" t="s">
        <v>213</v>
      </c>
      <c r="E1050" s="392" t="s">
        <v>982</v>
      </c>
      <c r="F1050" s="392" t="s">
        <v>1068</v>
      </c>
      <c r="G1050" s="397">
        <v>0</v>
      </c>
      <c r="H1050" s="397">
        <v>0</v>
      </c>
      <c r="I1050" s="397" t="e">
        <f t="shared" si="467"/>
        <v>#DIV/0!</v>
      </c>
      <c r="J1050" s="413"/>
      <c r="K1050" s="117"/>
      <c r="L1050" s="401"/>
      <c r="M1050" s="108"/>
      <c r="N1050" s="108"/>
      <c r="O1050" s="108"/>
    </row>
    <row r="1051" spans="1:15" s="192" customFormat="1" ht="17.45" hidden="1" customHeight="1" x14ac:dyDescent="0.25">
      <c r="A1051" s="396" t="s">
        <v>135</v>
      </c>
      <c r="B1051" s="390">
        <v>908</v>
      </c>
      <c r="C1051" s="392" t="s">
        <v>234</v>
      </c>
      <c r="D1051" s="392" t="s">
        <v>213</v>
      </c>
      <c r="E1051" s="392" t="s">
        <v>982</v>
      </c>
      <c r="F1051" s="392" t="s">
        <v>145</v>
      </c>
      <c r="G1051" s="397">
        <f>G1052</f>
        <v>0</v>
      </c>
      <c r="H1051" s="397">
        <f t="shared" ref="H1051" si="477">H1052</f>
        <v>0</v>
      </c>
      <c r="I1051" s="397" t="e">
        <f t="shared" si="467"/>
        <v>#DIV/0!</v>
      </c>
      <c r="J1051" s="413"/>
      <c r="K1051" s="117"/>
      <c r="L1051" s="401"/>
      <c r="M1051" s="108"/>
      <c r="N1051" s="108"/>
      <c r="O1051" s="108"/>
    </row>
    <row r="1052" spans="1:15" s="192" customFormat="1" ht="18.75" hidden="1" customHeight="1" x14ac:dyDescent="0.25">
      <c r="A1052" s="396" t="s">
        <v>704</v>
      </c>
      <c r="B1052" s="390">
        <v>908</v>
      </c>
      <c r="C1052" s="392" t="s">
        <v>234</v>
      </c>
      <c r="D1052" s="392" t="s">
        <v>213</v>
      </c>
      <c r="E1052" s="392" t="s">
        <v>982</v>
      </c>
      <c r="F1052" s="392" t="s">
        <v>138</v>
      </c>
      <c r="G1052" s="397">
        <v>0</v>
      </c>
      <c r="H1052" s="397">
        <v>0</v>
      </c>
      <c r="I1052" s="397" t="e">
        <f t="shared" si="467"/>
        <v>#DIV/0!</v>
      </c>
      <c r="J1052" s="413"/>
      <c r="K1052" s="117"/>
      <c r="L1052" s="401"/>
      <c r="M1052" s="108"/>
      <c r="N1052" s="108"/>
      <c r="O1052" s="108"/>
    </row>
    <row r="1053" spans="1:15" s="192" customFormat="1" ht="38.25" hidden="1" customHeight="1" x14ac:dyDescent="0.25">
      <c r="A1053" s="396" t="s">
        <v>1069</v>
      </c>
      <c r="B1053" s="390">
        <v>908</v>
      </c>
      <c r="C1053" s="392" t="s">
        <v>234</v>
      </c>
      <c r="D1053" s="392" t="s">
        <v>213</v>
      </c>
      <c r="E1053" s="392" t="s">
        <v>1070</v>
      </c>
      <c r="F1053" s="392"/>
      <c r="G1053" s="397">
        <f>G1054</f>
        <v>0</v>
      </c>
      <c r="H1053" s="397">
        <f t="shared" ref="H1053:H1054" si="478">H1054</f>
        <v>0</v>
      </c>
      <c r="I1053" s="397" t="e">
        <f t="shared" si="467"/>
        <v>#DIV/0!</v>
      </c>
      <c r="J1053" s="413"/>
      <c r="K1053" s="117"/>
      <c r="L1053" s="401"/>
      <c r="M1053" s="108"/>
      <c r="N1053" s="108"/>
      <c r="O1053" s="108"/>
    </row>
    <row r="1054" spans="1:15" s="192" customFormat="1" ht="32.25" hidden="1" customHeight="1" x14ac:dyDescent="0.25">
      <c r="A1054" s="396" t="s">
        <v>131</v>
      </c>
      <c r="B1054" s="390">
        <v>908</v>
      </c>
      <c r="C1054" s="392" t="s">
        <v>234</v>
      </c>
      <c r="D1054" s="392" t="s">
        <v>213</v>
      </c>
      <c r="E1054" s="392" t="s">
        <v>1070</v>
      </c>
      <c r="F1054" s="392" t="s">
        <v>132</v>
      </c>
      <c r="G1054" s="397">
        <f>G1055</f>
        <v>0</v>
      </c>
      <c r="H1054" s="397">
        <f t="shared" si="478"/>
        <v>0</v>
      </c>
      <c r="I1054" s="397" t="e">
        <f t="shared" si="467"/>
        <v>#DIV/0!</v>
      </c>
      <c r="J1054" s="413"/>
      <c r="K1054" s="117"/>
      <c r="L1054" s="401"/>
      <c r="M1054" s="108"/>
      <c r="N1054" s="108"/>
      <c r="O1054" s="108"/>
    </row>
    <row r="1055" spans="1:15" s="192" customFormat="1" ht="35.450000000000003" hidden="1" customHeight="1" x14ac:dyDescent="0.25">
      <c r="A1055" s="396" t="s">
        <v>133</v>
      </c>
      <c r="B1055" s="390">
        <v>908</v>
      </c>
      <c r="C1055" s="392" t="s">
        <v>234</v>
      </c>
      <c r="D1055" s="392" t="s">
        <v>213</v>
      </c>
      <c r="E1055" s="392" t="s">
        <v>1070</v>
      </c>
      <c r="F1055" s="392" t="s">
        <v>134</v>
      </c>
      <c r="G1055" s="397">
        <v>0</v>
      </c>
      <c r="H1055" s="397">
        <v>0</v>
      </c>
      <c r="I1055" s="397" t="e">
        <f t="shared" si="467"/>
        <v>#DIV/0!</v>
      </c>
      <c r="J1055" s="413"/>
      <c r="K1055" s="117"/>
      <c r="L1055" s="401"/>
      <c r="M1055" s="108"/>
      <c r="N1055" s="108"/>
      <c r="O1055" s="108"/>
    </row>
    <row r="1056" spans="1:15" s="192" customFormat="1" ht="47.25" customHeight="1" x14ac:dyDescent="0.25">
      <c r="A1056" s="394" t="s">
        <v>1509</v>
      </c>
      <c r="B1056" s="391">
        <v>908</v>
      </c>
      <c r="C1056" s="395" t="s">
        <v>234</v>
      </c>
      <c r="D1056" s="395" t="s">
        <v>213</v>
      </c>
      <c r="E1056" s="395" t="s">
        <v>518</v>
      </c>
      <c r="F1056" s="395"/>
      <c r="G1056" s="393">
        <f>G1057+G1061+G1065+G1069+G1081+G1077+G1085+G1073</f>
        <v>57060.592710000004</v>
      </c>
      <c r="H1056" s="393">
        <f t="shared" ref="H1056" si="479">H1057+H1061+H1065+H1069+H1081+H1077+H1085+H1073</f>
        <v>56962.98</v>
      </c>
      <c r="I1056" s="393">
        <f t="shared" si="467"/>
        <v>99.828931482545059</v>
      </c>
      <c r="J1056" s="413"/>
      <c r="K1056" s="117"/>
      <c r="L1056" s="401"/>
      <c r="M1056" s="108"/>
      <c r="N1056" s="108"/>
      <c r="O1056" s="117"/>
    </row>
    <row r="1057" spans="1:15" s="192" customFormat="1" ht="30.75" hidden="1" customHeight="1" x14ac:dyDescent="0.25">
      <c r="A1057" s="394" t="s">
        <v>962</v>
      </c>
      <c r="B1057" s="391">
        <v>908</v>
      </c>
      <c r="C1057" s="395" t="s">
        <v>234</v>
      </c>
      <c r="D1057" s="395" t="s">
        <v>213</v>
      </c>
      <c r="E1057" s="395" t="s">
        <v>964</v>
      </c>
      <c r="F1057" s="395"/>
      <c r="G1057" s="393">
        <f>G1058</f>
        <v>0</v>
      </c>
      <c r="H1057" s="393">
        <f t="shared" ref="H1057:H1059" si="480">H1058</f>
        <v>0</v>
      </c>
      <c r="I1057" s="393" t="e">
        <f t="shared" si="467"/>
        <v>#DIV/0!</v>
      </c>
      <c r="J1057" s="413"/>
      <c r="K1057" s="117"/>
      <c r="L1057" s="401"/>
      <c r="M1057" s="108"/>
      <c r="N1057" s="108"/>
      <c r="O1057" s="108"/>
    </row>
    <row r="1058" spans="1:15" ht="15.75" hidden="1" x14ac:dyDescent="0.25">
      <c r="A1058" s="45" t="s">
        <v>963</v>
      </c>
      <c r="B1058" s="390">
        <v>908</v>
      </c>
      <c r="C1058" s="399" t="s">
        <v>234</v>
      </c>
      <c r="D1058" s="399" t="s">
        <v>213</v>
      </c>
      <c r="E1058" s="392" t="s">
        <v>965</v>
      </c>
      <c r="F1058" s="399"/>
      <c r="G1058" s="397">
        <f>G1059</f>
        <v>0</v>
      </c>
      <c r="H1058" s="397">
        <f t="shared" si="480"/>
        <v>0</v>
      </c>
      <c r="I1058" s="393" t="e">
        <f t="shared" si="467"/>
        <v>#DIV/0!</v>
      </c>
      <c r="J1058" s="413"/>
      <c r="K1058" s="117"/>
      <c r="L1058" s="401"/>
      <c r="M1058" s="108"/>
      <c r="N1058" s="108"/>
      <c r="O1058" s="108"/>
    </row>
    <row r="1059" spans="1:15" ht="31.5" hidden="1" x14ac:dyDescent="0.25">
      <c r="A1059" s="31" t="s">
        <v>131</v>
      </c>
      <c r="B1059" s="390">
        <v>908</v>
      </c>
      <c r="C1059" s="399" t="s">
        <v>234</v>
      </c>
      <c r="D1059" s="399" t="s">
        <v>213</v>
      </c>
      <c r="E1059" s="392" t="s">
        <v>965</v>
      </c>
      <c r="F1059" s="399" t="s">
        <v>132</v>
      </c>
      <c r="G1059" s="397">
        <f>G1060</f>
        <v>0</v>
      </c>
      <c r="H1059" s="397">
        <f t="shared" si="480"/>
        <v>0</v>
      </c>
      <c r="I1059" s="393" t="e">
        <f t="shared" si="467"/>
        <v>#DIV/0!</v>
      </c>
      <c r="J1059" s="413"/>
      <c r="K1059" s="117"/>
      <c r="L1059" s="401"/>
      <c r="M1059" s="108"/>
      <c r="N1059" s="108"/>
      <c r="O1059" s="108"/>
    </row>
    <row r="1060" spans="1:15" ht="31.5" hidden="1" x14ac:dyDescent="0.25">
      <c r="A1060" s="31" t="s">
        <v>133</v>
      </c>
      <c r="B1060" s="390">
        <v>908</v>
      </c>
      <c r="C1060" s="399" t="s">
        <v>234</v>
      </c>
      <c r="D1060" s="399" t="s">
        <v>213</v>
      </c>
      <c r="E1060" s="392" t="s">
        <v>965</v>
      </c>
      <c r="F1060" s="399" t="s">
        <v>134</v>
      </c>
      <c r="G1060" s="337">
        <f>700-700</f>
        <v>0</v>
      </c>
      <c r="H1060" s="337">
        <f t="shared" ref="H1060" si="481">700-700</f>
        <v>0</v>
      </c>
      <c r="I1060" s="393" t="e">
        <f t="shared" si="467"/>
        <v>#DIV/0!</v>
      </c>
      <c r="J1060" s="413"/>
      <c r="K1060" s="117"/>
      <c r="L1060" s="401"/>
      <c r="M1060" s="108"/>
      <c r="N1060" s="108"/>
      <c r="O1060" s="108"/>
    </row>
    <row r="1061" spans="1:15" s="192" customFormat="1" ht="15.75" x14ac:dyDescent="0.25">
      <c r="A1061" s="34" t="s">
        <v>966</v>
      </c>
      <c r="B1061" s="391">
        <v>908</v>
      </c>
      <c r="C1061" s="7" t="s">
        <v>234</v>
      </c>
      <c r="D1061" s="7" t="s">
        <v>213</v>
      </c>
      <c r="E1061" s="395" t="s">
        <v>967</v>
      </c>
      <c r="F1061" s="7"/>
      <c r="G1061" s="393">
        <f>G1062</f>
        <v>390</v>
      </c>
      <c r="H1061" s="393">
        <f t="shared" ref="H1061:H1063" si="482">H1062</f>
        <v>389.95100000000002</v>
      </c>
      <c r="I1061" s="393">
        <f t="shared" si="467"/>
        <v>99.987435897435901</v>
      </c>
      <c r="J1061" s="413"/>
      <c r="K1061" s="117"/>
      <c r="L1061" s="401"/>
      <c r="M1061" s="108"/>
      <c r="N1061" s="108"/>
      <c r="O1061" s="117"/>
    </row>
    <row r="1062" spans="1:15" ht="15.75" x14ac:dyDescent="0.25">
      <c r="A1062" s="45" t="s">
        <v>523</v>
      </c>
      <c r="B1062" s="390">
        <v>908</v>
      </c>
      <c r="C1062" s="399" t="s">
        <v>234</v>
      </c>
      <c r="D1062" s="399" t="s">
        <v>213</v>
      </c>
      <c r="E1062" s="392" t="s">
        <v>970</v>
      </c>
      <c r="F1062" s="399"/>
      <c r="G1062" s="397">
        <f>G1063</f>
        <v>390</v>
      </c>
      <c r="H1062" s="397">
        <f t="shared" si="482"/>
        <v>389.95100000000002</v>
      </c>
      <c r="I1062" s="397">
        <f t="shared" si="467"/>
        <v>99.987435897435901</v>
      </c>
      <c r="J1062" s="413"/>
      <c r="K1062" s="117"/>
      <c r="L1062" s="401"/>
      <c r="M1062" s="108"/>
      <c r="N1062" s="108"/>
      <c r="O1062" s="117"/>
    </row>
    <row r="1063" spans="1:15" ht="31.5" x14ac:dyDescent="0.25">
      <c r="A1063" s="31" t="s">
        <v>131</v>
      </c>
      <c r="B1063" s="390">
        <v>908</v>
      </c>
      <c r="C1063" s="399" t="s">
        <v>234</v>
      </c>
      <c r="D1063" s="399" t="s">
        <v>213</v>
      </c>
      <c r="E1063" s="392" t="s">
        <v>970</v>
      </c>
      <c r="F1063" s="399" t="s">
        <v>132</v>
      </c>
      <c r="G1063" s="397">
        <f>G1064</f>
        <v>390</v>
      </c>
      <c r="H1063" s="397">
        <f t="shared" si="482"/>
        <v>389.95100000000002</v>
      </c>
      <c r="I1063" s="397">
        <f t="shared" si="467"/>
        <v>99.987435897435901</v>
      </c>
      <c r="J1063" s="413"/>
      <c r="K1063" s="117"/>
      <c r="L1063" s="401"/>
      <c r="M1063" s="108"/>
      <c r="N1063" s="108"/>
      <c r="O1063" s="108"/>
    </row>
    <row r="1064" spans="1:15" ht="31.5" x14ac:dyDescent="0.25">
      <c r="A1064" s="31" t="s">
        <v>133</v>
      </c>
      <c r="B1064" s="390">
        <v>908</v>
      </c>
      <c r="C1064" s="399" t="s">
        <v>234</v>
      </c>
      <c r="D1064" s="399" t="s">
        <v>213</v>
      </c>
      <c r="E1064" s="392" t="s">
        <v>970</v>
      </c>
      <c r="F1064" s="399" t="s">
        <v>134</v>
      </c>
      <c r="G1064" s="389">
        <f>159.4+115.6+115+115.6+159.4-224-51</f>
        <v>390</v>
      </c>
      <c r="H1064" s="389">
        <v>389.95100000000002</v>
      </c>
      <c r="I1064" s="397">
        <f t="shared" si="467"/>
        <v>99.987435897435901</v>
      </c>
      <c r="J1064" s="413"/>
      <c r="K1064" s="117"/>
      <c r="L1064" s="401"/>
      <c r="M1064" s="108"/>
      <c r="N1064" s="108"/>
      <c r="O1064" s="108"/>
    </row>
    <row r="1065" spans="1:15" s="192" customFormat="1" ht="16.5" hidden="1" customHeight="1" x14ac:dyDescent="0.25">
      <c r="A1065" s="58" t="s">
        <v>968</v>
      </c>
      <c r="B1065" s="391">
        <v>908</v>
      </c>
      <c r="C1065" s="7" t="s">
        <v>234</v>
      </c>
      <c r="D1065" s="7" t="s">
        <v>213</v>
      </c>
      <c r="E1065" s="395" t="s">
        <v>969</v>
      </c>
      <c r="F1065" s="7"/>
      <c r="G1065" s="388">
        <f>G1066</f>
        <v>0</v>
      </c>
      <c r="H1065" s="388">
        <f t="shared" ref="H1065:H1067" si="483">H1066</f>
        <v>0</v>
      </c>
      <c r="I1065" s="397" t="e">
        <f t="shared" si="467"/>
        <v>#DIV/0!</v>
      </c>
      <c r="J1065" s="413"/>
      <c r="K1065" s="117"/>
      <c r="L1065" s="401"/>
      <c r="M1065" s="108"/>
      <c r="N1065" s="108"/>
      <c r="O1065" s="108"/>
    </row>
    <row r="1066" spans="1:15" ht="15.75" hidden="1" x14ac:dyDescent="0.25">
      <c r="A1066" s="45" t="s">
        <v>525</v>
      </c>
      <c r="B1066" s="390">
        <v>908</v>
      </c>
      <c r="C1066" s="399" t="s">
        <v>234</v>
      </c>
      <c r="D1066" s="399" t="s">
        <v>213</v>
      </c>
      <c r="E1066" s="392" t="s">
        <v>971</v>
      </c>
      <c r="F1066" s="399"/>
      <c r="G1066" s="397">
        <f>G1067</f>
        <v>0</v>
      </c>
      <c r="H1066" s="397">
        <f t="shared" si="483"/>
        <v>0</v>
      </c>
      <c r="I1066" s="397" t="e">
        <f t="shared" si="467"/>
        <v>#DIV/0!</v>
      </c>
      <c r="J1066" s="413"/>
      <c r="K1066" s="117"/>
      <c r="L1066" s="401"/>
      <c r="M1066" s="108"/>
      <c r="N1066" s="108"/>
      <c r="O1066" s="108"/>
    </row>
    <row r="1067" spans="1:15" ht="31.5" hidden="1" x14ac:dyDescent="0.25">
      <c r="A1067" s="31" t="s">
        <v>131</v>
      </c>
      <c r="B1067" s="390">
        <v>908</v>
      </c>
      <c r="C1067" s="399" t="s">
        <v>234</v>
      </c>
      <c r="D1067" s="399" t="s">
        <v>213</v>
      </c>
      <c r="E1067" s="392" t="s">
        <v>971</v>
      </c>
      <c r="F1067" s="399" t="s">
        <v>132</v>
      </c>
      <c r="G1067" s="397">
        <f>G1068</f>
        <v>0</v>
      </c>
      <c r="H1067" s="397">
        <f t="shared" si="483"/>
        <v>0</v>
      </c>
      <c r="I1067" s="397" t="e">
        <f t="shared" si="467"/>
        <v>#DIV/0!</v>
      </c>
      <c r="J1067" s="413"/>
      <c r="K1067" s="117"/>
      <c r="L1067" s="401"/>
      <c r="M1067" s="108"/>
      <c r="N1067" s="108"/>
      <c r="O1067" s="108"/>
    </row>
    <row r="1068" spans="1:15" ht="31.5" hidden="1" x14ac:dyDescent="0.25">
      <c r="A1068" s="31" t="s">
        <v>133</v>
      </c>
      <c r="B1068" s="390">
        <v>908</v>
      </c>
      <c r="C1068" s="399" t="s">
        <v>234</v>
      </c>
      <c r="D1068" s="399" t="s">
        <v>213</v>
      </c>
      <c r="E1068" s="392" t="s">
        <v>971</v>
      </c>
      <c r="F1068" s="399" t="s">
        <v>134</v>
      </c>
      <c r="G1068" s="389"/>
      <c r="H1068" s="389"/>
      <c r="I1068" s="397" t="e">
        <f t="shared" si="467"/>
        <v>#DIV/0!</v>
      </c>
      <c r="J1068" s="413"/>
      <c r="K1068" s="117"/>
      <c r="L1068" s="401"/>
      <c r="M1068" s="108"/>
      <c r="N1068" s="108"/>
      <c r="O1068" s="108"/>
    </row>
    <row r="1069" spans="1:15" s="192" customFormat="1" ht="31.5" x14ac:dyDescent="0.25">
      <c r="A1069" s="58" t="s">
        <v>972</v>
      </c>
      <c r="B1069" s="391">
        <v>908</v>
      </c>
      <c r="C1069" s="7" t="s">
        <v>234</v>
      </c>
      <c r="D1069" s="7" t="s">
        <v>213</v>
      </c>
      <c r="E1069" s="395" t="s">
        <v>973</v>
      </c>
      <c r="F1069" s="7"/>
      <c r="G1069" s="388">
        <f>G1070</f>
        <v>261.7</v>
      </c>
      <c r="H1069" s="388">
        <f t="shared" ref="H1069:H1071" si="484">H1070</f>
        <v>260.791</v>
      </c>
      <c r="I1069" s="393">
        <f t="shared" si="467"/>
        <v>99.65265571264807</v>
      </c>
      <c r="J1069" s="413"/>
      <c r="K1069" s="117"/>
      <c r="L1069" s="401"/>
      <c r="M1069" s="108"/>
      <c r="N1069" s="108"/>
      <c r="O1069" s="108"/>
    </row>
    <row r="1070" spans="1:15" ht="15.75" x14ac:dyDescent="0.25">
      <c r="A1070" s="45" t="s">
        <v>527</v>
      </c>
      <c r="B1070" s="390">
        <v>908</v>
      </c>
      <c r="C1070" s="399" t="s">
        <v>234</v>
      </c>
      <c r="D1070" s="399" t="s">
        <v>213</v>
      </c>
      <c r="E1070" s="392" t="s">
        <v>974</v>
      </c>
      <c r="F1070" s="399"/>
      <c r="G1070" s="397">
        <f>G1071</f>
        <v>261.7</v>
      </c>
      <c r="H1070" s="397">
        <f t="shared" si="484"/>
        <v>260.791</v>
      </c>
      <c r="I1070" s="397">
        <f t="shared" si="467"/>
        <v>99.65265571264807</v>
      </c>
      <c r="J1070" s="413"/>
      <c r="K1070" s="117"/>
      <c r="L1070" s="401"/>
      <c r="M1070" s="108"/>
      <c r="N1070" s="108"/>
      <c r="O1070" s="108"/>
    </row>
    <row r="1071" spans="1:15" ht="31.5" x14ac:dyDescent="0.25">
      <c r="A1071" s="31" t="s">
        <v>131</v>
      </c>
      <c r="B1071" s="390">
        <v>908</v>
      </c>
      <c r="C1071" s="399" t="s">
        <v>234</v>
      </c>
      <c r="D1071" s="399" t="s">
        <v>213</v>
      </c>
      <c r="E1071" s="392" t="s">
        <v>974</v>
      </c>
      <c r="F1071" s="399" t="s">
        <v>132</v>
      </c>
      <c r="G1071" s="397">
        <f>G1072</f>
        <v>261.7</v>
      </c>
      <c r="H1071" s="397">
        <f t="shared" si="484"/>
        <v>260.791</v>
      </c>
      <c r="I1071" s="397">
        <f t="shared" si="467"/>
        <v>99.65265571264807</v>
      </c>
      <c r="J1071" s="413"/>
      <c r="K1071" s="117"/>
      <c r="L1071" s="401"/>
      <c r="M1071" s="108"/>
      <c r="N1071" s="108"/>
      <c r="O1071" s="108"/>
    </row>
    <row r="1072" spans="1:15" ht="31.5" x14ac:dyDescent="0.25">
      <c r="A1072" s="31" t="s">
        <v>133</v>
      </c>
      <c r="B1072" s="390">
        <v>908</v>
      </c>
      <c r="C1072" s="399" t="s">
        <v>234</v>
      </c>
      <c r="D1072" s="399" t="s">
        <v>213</v>
      </c>
      <c r="E1072" s="392" t="s">
        <v>974</v>
      </c>
      <c r="F1072" s="399" t="s">
        <v>134</v>
      </c>
      <c r="G1072" s="389">
        <f>179.9+81.8</f>
        <v>261.7</v>
      </c>
      <c r="H1072" s="389">
        <v>260.791</v>
      </c>
      <c r="I1072" s="397">
        <f t="shared" si="467"/>
        <v>99.65265571264807</v>
      </c>
      <c r="J1072" s="413"/>
      <c r="K1072" s="117"/>
      <c r="L1072" s="401"/>
      <c r="M1072" s="108"/>
      <c r="N1072" s="108"/>
      <c r="O1072" s="108"/>
    </row>
    <row r="1073" spans="1:15" s="192" customFormat="1" ht="31.7" customHeight="1" x14ac:dyDescent="0.25">
      <c r="A1073" s="34" t="s">
        <v>1013</v>
      </c>
      <c r="B1073" s="391">
        <v>908</v>
      </c>
      <c r="C1073" s="7" t="s">
        <v>234</v>
      </c>
      <c r="D1073" s="7" t="s">
        <v>213</v>
      </c>
      <c r="E1073" s="395" t="s">
        <v>1014</v>
      </c>
      <c r="F1073" s="7"/>
      <c r="G1073" s="388">
        <f>G1074</f>
        <v>30.3</v>
      </c>
      <c r="H1073" s="388">
        <f t="shared" ref="H1073:H1075" si="485">H1074</f>
        <v>30.29</v>
      </c>
      <c r="I1073" s="393">
        <f t="shared" si="467"/>
        <v>99.966996699669963</v>
      </c>
      <c r="J1073" s="413"/>
      <c r="K1073" s="117"/>
      <c r="L1073" s="401"/>
      <c r="M1073" s="108"/>
      <c r="N1073" s="108"/>
      <c r="O1073" s="108"/>
    </row>
    <row r="1074" spans="1:15" ht="15.75" x14ac:dyDescent="0.25">
      <c r="A1074" s="45" t="s">
        <v>529</v>
      </c>
      <c r="B1074" s="390">
        <v>908</v>
      </c>
      <c r="C1074" s="399" t="s">
        <v>234</v>
      </c>
      <c r="D1074" s="399" t="s">
        <v>213</v>
      </c>
      <c r="E1074" s="392" t="s">
        <v>1017</v>
      </c>
      <c r="F1074" s="399"/>
      <c r="G1074" s="397">
        <f>G1075</f>
        <v>30.3</v>
      </c>
      <c r="H1074" s="397">
        <f t="shared" si="485"/>
        <v>30.29</v>
      </c>
      <c r="I1074" s="397">
        <f t="shared" si="467"/>
        <v>99.966996699669963</v>
      </c>
      <c r="J1074" s="413"/>
      <c r="K1074" s="117"/>
      <c r="L1074" s="401"/>
      <c r="M1074" s="108"/>
      <c r="N1074" s="108"/>
      <c r="O1074" s="108"/>
    </row>
    <row r="1075" spans="1:15" ht="31.5" x14ac:dyDescent="0.25">
      <c r="A1075" s="31" t="s">
        <v>131</v>
      </c>
      <c r="B1075" s="390">
        <v>908</v>
      </c>
      <c r="C1075" s="399" t="s">
        <v>234</v>
      </c>
      <c r="D1075" s="399" t="s">
        <v>213</v>
      </c>
      <c r="E1075" s="392" t="s">
        <v>1017</v>
      </c>
      <c r="F1075" s="399" t="s">
        <v>132</v>
      </c>
      <c r="G1075" s="397">
        <f>G1076</f>
        <v>30.3</v>
      </c>
      <c r="H1075" s="397">
        <f t="shared" si="485"/>
        <v>30.29</v>
      </c>
      <c r="I1075" s="397">
        <f t="shared" si="467"/>
        <v>99.966996699669963</v>
      </c>
      <c r="J1075" s="413"/>
      <c r="K1075" s="117"/>
      <c r="L1075" s="401"/>
      <c r="M1075" s="108"/>
      <c r="N1075" s="108"/>
      <c r="O1075" s="108"/>
    </row>
    <row r="1076" spans="1:15" ht="31.5" x14ac:dyDescent="0.25">
      <c r="A1076" s="31" t="s">
        <v>133</v>
      </c>
      <c r="B1076" s="390">
        <v>908</v>
      </c>
      <c r="C1076" s="399" t="s">
        <v>234</v>
      </c>
      <c r="D1076" s="399" t="s">
        <v>213</v>
      </c>
      <c r="E1076" s="392" t="s">
        <v>1017</v>
      </c>
      <c r="F1076" s="399" t="s">
        <v>134</v>
      </c>
      <c r="G1076" s="397">
        <v>30.3</v>
      </c>
      <c r="H1076" s="397">
        <v>30.29</v>
      </c>
      <c r="I1076" s="397">
        <f t="shared" si="467"/>
        <v>99.966996699669963</v>
      </c>
      <c r="J1076" s="413"/>
      <c r="K1076" s="117"/>
      <c r="L1076" s="401"/>
      <c r="M1076" s="108"/>
      <c r="N1076" s="108"/>
      <c r="O1076" s="108"/>
    </row>
    <row r="1077" spans="1:15" s="192" customFormat="1" ht="31.5" hidden="1" x14ac:dyDescent="0.25">
      <c r="A1077" s="204" t="s">
        <v>1015</v>
      </c>
      <c r="B1077" s="391">
        <v>908</v>
      </c>
      <c r="C1077" s="7" t="s">
        <v>234</v>
      </c>
      <c r="D1077" s="7" t="s">
        <v>213</v>
      </c>
      <c r="E1077" s="395" t="s">
        <v>1016</v>
      </c>
      <c r="F1077" s="7"/>
      <c r="G1077" s="393">
        <f>G1078</f>
        <v>0</v>
      </c>
      <c r="H1077" s="393">
        <f t="shared" ref="H1077:H1079" si="486">H1078</f>
        <v>0</v>
      </c>
      <c r="I1077" s="397" t="e">
        <f t="shared" si="467"/>
        <v>#DIV/0!</v>
      </c>
      <c r="J1077" s="413"/>
      <c r="K1077" s="117"/>
      <c r="L1077" s="401"/>
      <c r="M1077" s="108"/>
      <c r="N1077" s="108"/>
      <c r="O1077" s="108"/>
    </row>
    <row r="1078" spans="1:15" ht="21.75" hidden="1" customHeight="1" x14ac:dyDescent="0.25">
      <c r="A1078" s="172" t="s">
        <v>531</v>
      </c>
      <c r="B1078" s="390">
        <v>908</v>
      </c>
      <c r="C1078" s="399" t="s">
        <v>234</v>
      </c>
      <c r="D1078" s="399" t="s">
        <v>213</v>
      </c>
      <c r="E1078" s="392" t="s">
        <v>1018</v>
      </c>
      <c r="F1078" s="399"/>
      <c r="G1078" s="397">
        <f>G1079</f>
        <v>0</v>
      </c>
      <c r="H1078" s="397">
        <f t="shared" si="486"/>
        <v>0</v>
      </c>
      <c r="I1078" s="397" t="e">
        <f t="shared" si="467"/>
        <v>#DIV/0!</v>
      </c>
      <c r="J1078" s="413"/>
      <c r="K1078" s="117"/>
      <c r="L1078" s="401"/>
      <c r="M1078" s="108"/>
      <c r="N1078" s="108"/>
      <c r="O1078" s="108"/>
    </row>
    <row r="1079" spans="1:15" ht="31.7" hidden="1" customHeight="1" x14ac:dyDescent="0.25">
      <c r="A1079" s="31" t="s">
        <v>131</v>
      </c>
      <c r="B1079" s="390">
        <v>908</v>
      </c>
      <c r="C1079" s="399" t="s">
        <v>234</v>
      </c>
      <c r="D1079" s="399" t="s">
        <v>213</v>
      </c>
      <c r="E1079" s="392" t="s">
        <v>1018</v>
      </c>
      <c r="F1079" s="399" t="s">
        <v>132</v>
      </c>
      <c r="G1079" s="397">
        <f>G1080</f>
        <v>0</v>
      </c>
      <c r="H1079" s="397">
        <f t="shared" si="486"/>
        <v>0</v>
      </c>
      <c r="I1079" s="397" t="e">
        <f t="shared" si="467"/>
        <v>#DIV/0!</v>
      </c>
      <c r="J1079" s="413"/>
      <c r="K1079" s="117"/>
      <c r="L1079" s="401"/>
      <c r="M1079" s="108"/>
      <c r="N1079" s="108"/>
      <c r="O1079" s="108"/>
    </row>
    <row r="1080" spans="1:15" ht="36" hidden="1" customHeight="1" x14ac:dyDescent="0.25">
      <c r="A1080" s="31" t="s">
        <v>133</v>
      </c>
      <c r="B1080" s="390">
        <v>908</v>
      </c>
      <c r="C1080" s="399" t="s">
        <v>234</v>
      </c>
      <c r="D1080" s="399" t="s">
        <v>213</v>
      </c>
      <c r="E1080" s="392" t="s">
        <v>1018</v>
      </c>
      <c r="F1080" s="399" t="s">
        <v>134</v>
      </c>
      <c r="G1080" s="397">
        <v>0</v>
      </c>
      <c r="H1080" s="397">
        <v>0</v>
      </c>
      <c r="I1080" s="397" t="e">
        <f t="shared" si="467"/>
        <v>#DIV/0!</v>
      </c>
      <c r="J1080" s="413"/>
      <c r="K1080" s="117"/>
      <c r="L1080" s="401"/>
      <c r="M1080" s="108"/>
      <c r="N1080" s="108"/>
      <c r="O1080" s="108"/>
    </row>
    <row r="1081" spans="1:15" s="192" customFormat="1" ht="31.7" customHeight="1" x14ac:dyDescent="0.25">
      <c r="A1081" s="204" t="s">
        <v>976</v>
      </c>
      <c r="B1081" s="391">
        <v>908</v>
      </c>
      <c r="C1081" s="7" t="s">
        <v>234</v>
      </c>
      <c r="D1081" s="7" t="s">
        <v>213</v>
      </c>
      <c r="E1081" s="395" t="s">
        <v>977</v>
      </c>
      <c r="F1081" s="7"/>
      <c r="G1081" s="393">
        <f>G1082</f>
        <v>193.3</v>
      </c>
      <c r="H1081" s="393">
        <f t="shared" ref="H1081:H1083" si="487">H1082</f>
        <v>193.23</v>
      </c>
      <c r="I1081" s="393">
        <f t="shared" si="467"/>
        <v>99.963786859803406</v>
      </c>
      <c r="J1081" s="413"/>
      <c r="K1081" s="117"/>
      <c r="L1081" s="401"/>
      <c r="M1081" s="108"/>
      <c r="N1081" s="108"/>
      <c r="O1081" s="108"/>
    </row>
    <row r="1082" spans="1:15" ht="15.75" x14ac:dyDescent="0.25">
      <c r="A1082" s="172" t="s">
        <v>533</v>
      </c>
      <c r="B1082" s="390">
        <v>908</v>
      </c>
      <c r="C1082" s="399" t="s">
        <v>234</v>
      </c>
      <c r="D1082" s="399" t="s">
        <v>213</v>
      </c>
      <c r="E1082" s="392" t="s">
        <v>975</v>
      </c>
      <c r="F1082" s="399"/>
      <c r="G1082" s="397">
        <f>G1083</f>
        <v>193.3</v>
      </c>
      <c r="H1082" s="397">
        <f t="shared" si="487"/>
        <v>193.23</v>
      </c>
      <c r="I1082" s="397">
        <f t="shared" si="467"/>
        <v>99.963786859803406</v>
      </c>
      <c r="J1082" s="413"/>
      <c r="K1082" s="117"/>
      <c r="L1082" s="401"/>
    </row>
    <row r="1083" spans="1:15" ht="31.5" x14ac:dyDescent="0.25">
      <c r="A1083" s="396" t="s">
        <v>131</v>
      </c>
      <c r="B1083" s="390">
        <v>908</v>
      </c>
      <c r="C1083" s="399" t="s">
        <v>234</v>
      </c>
      <c r="D1083" s="399" t="s">
        <v>213</v>
      </c>
      <c r="E1083" s="392" t="s">
        <v>975</v>
      </c>
      <c r="F1083" s="399" t="s">
        <v>132</v>
      </c>
      <c r="G1083" s="397">
        <f>G1084</f>
        <v>193.3</v>
      </c>
      <c r="H1083" s="397">
        <f t="shared" si="487"/>
        <v>193.23</v>
      </c>
      <c r="I1083" s="397">
        <f t="shared" si="467"/>
        <v>99.963786859803406</v>
      </c>
      <c r="J1083" s="413"/>
      <c r="K1083" s="117"/>
      <c r="L1083" s="192"/>
    </row>
    <row r="1084" spans="1:15" ht="31.5" x14ac:dyDescent="0.25">
      <c r="A1084" s="396" t="s">
        <v>133</v>
      </c>
      <c r="B1084" s="390">
        <v>908</v>
      </c>
      <c r="C1084" s="399" t="s">
        <v>234</v>
      </c>
      <c r="D1084" s="399" t="s">
        <v>213</v>
      </c>
      <c r="E1084" s="392" t="s">
        <v>975</v>
      </c>
      <c r="F1084" s="399" t="s">
        <v>134</v>
      </c>
      <c r="G1084" s="397">
        <f>110+161.6+161.6+31.7-271.6</f>
        <v>193.3</v>
      </c>
      <c r="H1084" s="397">
        <v>193.23</v>
      </c>
      <c r="I1084" s="397">
        <f t="shared" si="467"/>
        <v>99.963786859803406</v>
      </c>
      <c r="J1084" s="413"/>
      <c r="K1084" s="117"/>
      <c r="L1084" s="192"/>
    </row>
    <row r="1085" spans="1:15" s="192" customFormat="1" ht="31.5" x14ac:dyDescent="0.25">
      <c r="A1085" s="204" t="s">
        <v>1658</v>
      </c>
      <c r="B1085" s="391">
        <v>908</v>
      </c>
      <c r="C1085" s="7" t="s">
        <v>234</v>
      </c>
      <c r="D1085" s="7" t="s">
        <v>213</v>
      </c>
      <c r="E1085" s="395" t="s">
        <v>1657</v>
      </c>
      <c r="F1085" s="7"/>
      <c r="G1085" s="393">
        <f>G1086</f>
        <v>56185.292710000002</v>
      </c>
      <c r="H1085" s="393">
        <f t="shared" ref="H1085:H1087" si="488">H1086</f>
        <v>56088.718000000001</v>
      </c>
      <c r="I1085" s="393">
        <f t="shared" si="467"/>
        <v>99.828113897175058</v>
      </c>
      <c r="J1085" s="413"/>
      <c r="K1085" s="117"/>
    </row>
    <row r="1086" spans="1:15" s="192" customFormat="1" ht="47.25" x14ac:dyDescent="0.25">
      <c r="A1086" s="396" t="s">
        <v>1656</v>
      </c>
      <c r="B1086" s="390">
        <v>908</v>
      </c>
      <c r="C1086" s="399" t="s">
        <v>234</v>
      </c>
      <c r="D1086" s="399" t="s">
        <v>213</v>
      </c>
      <c r="E1086" s="392" t="s">
        <v>1659</v>
      </c>
      <c r="F1086" s="399"/>
      <c r="G1086" s="397">
        <f>G1087</f>
        <v>56185.292710000002</v>
      </c>
      <c r="H1086" s="397">
        <f t="shared" si="488"/>
        <v>56088.718000000001</v>
      </c>
      <c r="I1086" s="397">
        <f t="shared" si="467"/>
        <v>99.828113897175058</v>
      </c>
      <c r="J1086" s="413"/>
      <c r="K1086" s="117"/>
    </row>
    <row r="1087" spans="1:15" s="192" customFormat="1" ht="31.5" x14ac:dyDescent="0.25">
      <c r="A1087" s="396" t="s">
        <v>131</v>
      </c>
      <c r="B1087" s="390">
        <v>908</v>
      </c>
      <c r="C1087" s="399" t="s">
        <v>234</v>
      </c>
      <c r="D1087" s="399" t="s">
        <v>213</v>
      </c>
      <c r="E1087" s="392" t="s">
        <v>1659</v>
      </c>
      <c r="F1087" s="399" t="s">
        <v>132</v>
      </c>
      <c r="G1087" s="397">
        <f>G1088</f>
        <v>56185.292710000002</v>
      </c>
      <c r="H1087" s="397">
        <f t="shared" si="488"/>
        <v>56088.718000000001</v>
      </c>
      <c r="I1087" s="397">
        <f t="shared" si="467"/>
        <v>99.828113897175058</v>
      </c>
      <c r="J1087" s="413"/>
      <c r="K1087" s="117"/>
    </row>
    <row r="1088" spans="1:15" s="192" customFormat="1" ht="31.5" x14ac:dyDescent="0.25">
      <c r="A1088" s="396" t="s">
        <v>133</v>
      </c>
      <c r="B1088" s="390">
        <v>908</v>
      </c>
      <c r="C1088" s="399" t="s">
        <v>234</v>
      </c>
      <c r="D1088" s="399" t="s">
        <v>213</v>
      </c>
      <c r="E1088" s="392" t="s">
        <v>1659</v>
      </c>
      <c r="F1088" s="399" t="s">
        <v>134</v>
      </c>
      <c r="G1088" s="397">
        <v>56185.292710000002</v>
      </c>
      <c r="H1088" s="397">
        <v>56088.718000000001</v>
      </c>
      <c r="I1088" s="397">
        <f t="shared" si="467"/>
        <v>99.828113897175058</v>
      </c>
      <c r="J1088" s="413"/>
      <c r="K1088" s="117"/>
    </row>
    <row r="1089" spans="1:12" s="192" customFormat="1" ht="31.5" hidden="1" x14ac:dyDescent="0.25">
      <c r="A1089" s="394" t="s">
        <v>1511</v>
      </c>
      <c r="B1089" s="391">
        <v>908</v>
      </c>
      <c r="C1089" s="7" t="s">
        <v>234</v>
      </c>
      <c r="D1089" s="7" t="s">
        <v>213</v>
      </c>
      <c r="E1089" s="395" t="s">
        <v>1139</v>
      </c>
      <c r="F1089" s="7"/>
      <c r="G1089" s="393">
        <f>G1090</f>
        <v>0</v>
      </c>
      <c r="H1089" s="393">
        <f t="shared" ref="H1089:H1092" si="489">H1090</f>
        <v>0</v>
      </c>
      <c r="I1089" s="397" t="e">
        <f t="shared" si="467"/>
        <v>#DIV/0!</v>
      </c>
      <c r="J1089" s="413"/>
      <c r="K1089" s="117"/>
    </row>
    <row r="1090" spans="1:12" s="192" customFormat="1" ht="31.5" hidden="1" x14ac:dyDescent="0.25">
      <c r="A1090" s="394" t="s">
        <v>1140</v>
      </c>
      <c r="B1090" s="391">
        <v>908</v>
      </c>
      <c r="C1090" s="7" t="s">
        <v>234</v>
      </c>
      <c r="D1090" s="7" t="s">
        <v>213</v>
      </c>
      <c r="E1090" s="395" t="s">
        <v>1141</v>
      </c>
      <c r="F1090" s="7"/>
      <c r="G1090" s="393">
        <f>G1091</f>
        <v>0</v>
      </c>
      <c r="H1090" s="393">
        <f t="shared" si="489"/>
        <v>0</v>
      </c>
      <c r="I1090" s="397" t="e">
        <f t="shared" si="467"/>
        <v>#DIV/0!</v>
      </c>
      <c r="J1090" s="413"/>
      <c r="K1090" s="117"/>
    </row>
    <row r="1091" spans="1:12" s="192" customFormat="1" ht="15.75" hidden="1" x14ac:dyDescent="0.25">
      <c r="A1091" s="396" t="s">
        <v>537</v>
      </c>
      <c r="B1091" s="390">
        <v>908</v>
      </c>
      <c r="C1091" s="399" t="s">
        <v>234</v>
      </c>
      <c r="D1091" s="399" t="s">
        <v>213</v>
      </c>
      <c r="E1091" s="392" t="s">
        <v>1142</v>
      </c>
      <c r="F1091" s="399"/>
      <c r="G1091" s="397">
        <f>G1092</f>
        <v>0</v>
      </c>
      <c r="H1091" s="397">
        <f t="shared" si="489"/>
        <v>0</v>
      </c>
      <c r="I1091" s="397" t="e">
        <f t="shared" si="467"/>
        <v>#DIV/0!</v>
      </c>
      <c r="J1091" s="413"/>
      <c r="K1091" s="117"/>
    </row>
    <row r="1092" spans="1:12" s="192" customFormat="1" ht="31.5" hidden="1" x14ac:dyDescent="0.25">
      <c r="A1092" s="396" t="s">
        <v>131</v>
      </c>
      <c r="B1092" s="390">
        <v>908</v>
      </c>
      <c r="C1092" s="399" t="s">
        <v>234</v>
      </c>
      <c r="D1092" s="399" t="s">
        <v>213</v>
      </c>
      <c r="E1092" s="392" t="s">
        <v>1142</v>
      </c>
      <c r="F1092" s="399" t="s">
        <v>132</v>
      </c>
      <c r="G1092" s="397">
        <f>G1093</f>
        <v>0</v>
      </c>
      <c r="H1092" s="397">
        <f t="shared" si="489"/>
        <v>0</v>
      </c>
      <c r="I1092" s="397" t="e">
        <f t="shared" si="467"/>
        <v>#DIV/0!</v>
      </c>
      <c r="J1092" s="413"/>
      <c r="K1092" s="117"/>
    </row>
    <row r="1093" spans="1:12" s="192" customFormat="1" ht="31.5" hidden="1" x14ac:dyDescent="0.25">
      <c r="A1093" s="396" t="s">
        <v>133</v>
      </c>
      <c r="B1093" s="390">
        <v>908</v>
      </c>
      <c r="C1093" s="399" t="s">
        <v>234</v>
      </c>
      <c r="D1093" s="399" t="s">
        <v>213</v>
      </c>
      <c r="E1093" s="392" t="s">
        <v>1142</v>
      </c>
      <c r="F1093" s="399" t="s">
        <v>134</v>
      </c>
      <c r="G1093" s="337">
        <f>235-235</f>
        <v>0</v>
      </c>
      <c r="H1093" s="337">
        <f t="shared" ref="H1093" si="490">235-235</f>
        <v>0</v>
      </c>
      <c r="I1093" s="397" t="e">
        <f t="shared" si="467"/>
        <v>#DIV/0!</v>
      </c>
      <c r="J1093" s="413"/>
      <c r="K1093" s="117"/>
    </row>
    <row r="1094" spans="1:12" ht="15.75" x14ac:dyDescent="0.25">
      <c r="A1094" s="394" t="s">
        <v>541</v>
      </c>
      <c r="B1094" s="391">
        <v>908</v>
      </c>
      <c r="C1094" s="395" t="s">
        <v>234</v>
      </c>
      <c r="D1094" s="395" t="s">
        <v>215</v>
      </c>
      <c r="E1094" s="395"/>
      <c r="F1094" s="395"/>
      <c r="G1094" s="393">
        <f>G1095+G1100+G1147</f>
        <v>35177.311000000002</v>
      </c>
      <c r="H1094" s="393">
        <f t="shared" ref="H1094" si="491">H1095+H1100+H1147</f>
        <v>33068.978999999999</v>
      </c>
      <c r="I1094" s="393">
        <f t="shared" si="467"/>
        <v>94.006557237987849</v>
      </c>
      <c r="J1094" s="413"/>
      <c r="K1094" s="401"/>
      <c r="L1094" s="192"/>
    </row>
    <row r="1095" spans="1:12" s="192" customFormat="1" ht="15.75" hidden="1" x14ac:dyDescent="0.25">
      <c r="A1095" s="394" t="s">
        <v>141</v>
      </c>
      <c r="B1095" s="391">
        <v>908</v>
      </c>
      <c r="C1095" s="395" t="s">
        <v>234</v>
      </c>
      <c r="D1095" s="395" t="s">
        <v>215</v>
      </c>
      <c r="E1095" s="395" t="s">
        <v>865</v>
      </c>
      <c r="F1095" s="395"/>
      <c r="G1095" s="393">
        <f>G1096</f>
        <v>0</v>
      </c>
      <c r="H1095" s="393">
        <f t="shared" ref="H1095:H1098" si="492">H1096</f>
        <v>0</v>
      </c>
      <c r="I1095" s="393" t="e">
        <f t="shared" si="467"/>
        <v>#DIV/0!</v>
      </c>
      <c r="J1095" s="413"/>
      <c r="K1095" s="401"/>
    </row>
    <row r="1096" spans="1:12" s="192" customFormat="1" ht="31.5" hidden="1" x14ac:dyDescent="0.25">
      <c r="A1096" s="394" t="s">
        <v>869</v>
      </c>
      <c r="B1096" s="391">
        <v>908</v>
      </c>
      <c r="C1096" s="395" t="s">
        <v>234</v>
      </c>
      <c r="D1096" s="395" t="s">
        <v>215</v>
      </c>
      <c r="E1096" s="395" t="s">
        <v>864</v>
      </c>
      <c r="F1096" s="395"/>
      <c r="G1096" s="393">
        <f>G1097</f>
        <v>0</v>
      </c>
      <c r="H1096" s="393">
        <f t="shared" si="492"/>
        <v>0</v>
      </c>
      <c r="I1096" s="393" t="e">
        <f t="shared" si="467"/>
        <v>#DIV/0!</v>
      </c>
      <c r="J1096" s="413"/>
      <c r="K1096" s="401"/>
    </row>
    <row r="1097" spans="1:12" s="192" customFormat="1" ht="15.75" hidden="1" x14ac:dyDescent="0.25">
      <c r="A1097" s="396" t="s">
        <v>564</v>
      </c>
      <c r="B1097" s="390">
        <v>908</v>
      </c>
      <c r="C1097" s="392" t="s">
        <v>234</v>
      </c>
      <c r="D1097" s="392" t="s">
        <v>215</v>
      </c>
      <c r="E1097" s="392" t="s">
        <v>1075</v>
      </c>
      <c r="F1097" s="392"/>
      <c r="G1097" s="397">
        <f>G1098</f>
        <v>0</v>
      </c>
      <c r="H1097" s="397">
        <f t="shared" si="492"/>
        <v>0</v>
      </c>
      <c r="I1097" s="393" t="e">
        <f t="shared" si="467"/>
        <v>#DIV/0!</v>
      </c>
      <c r="J1097" s="413"/>
      <c r="K1097" s="401"/>
    </row>
    <row r="1098" spans="1:12" s="192" customFormat="1" ht="31.5" hidden="1" x14ac:dyDescent="0.25">
      <c r="A1098" s="396" t="s">
        <v>131</v>
      </c>
      <c r="B1098" s="390">
        <v>908</v>
      </c>
      <c r="C1098" s="392" t="s">
        <v>234</v>
      </c>
      <c r="D1098" s="392" t="s">
        <v>215</v>
      </c>
      <c r="E1098" s="392" t="s">
        <v>1075</v>
      </c>
      <c r="F1098" s="392" t="s">
        <v>132</v>
      </c>
      <c r="G1098" s="397">
        <f>G1099</f>
        <v>0</v>
      </c>
      <c r="H1098" s="397">
        <f t="shared" si="492"/>
        <v>0</v>
      </c>
      <c r="I1098" s="393" t="e">
        <f t="shared" ref="I1098:I1161" si="493">H1098/G1098*100</f>
        <v>#DIV/0!</v>
      </c>
      <c r="J1098" s="413"/>
      <c r="K1098" s="117"/>
    </row>
    <row r="1099" spans="1:12" s="192" customFormat="1" ht="31.5" hidden="1" x14ac:dyDescent="0.25">
      <c r="A1099" s="396" t="s">
        <v>133</v>
      </c>
      <c r="B1099" s="390">
        <v>908</v>
      </c>
      <c r="C1099" s="392" t="s">
        <v>234</v>
      </c>
      <c r="D1099" s="392" t="s">
        <v>215</v>
      </c>
      <c r="E1099" s="392" t="s">
        <v>1075</v>
      </c>
      <c r="F1099" s="392" t="s">
        <v>134</v>
      </c>
      <c r="G1099" s="27">
        <f>390+1000-1000-390</f>
        <v>0</v>
      </c>
      <c r="H1099" s="27">
        <f t="shared" ref="H1099" si="494">390+1000-1000-390</f>
        <v>0</v>
      </c>
      <c r="I1099" s="393" t="e">
        <f t="shared" si="493"/>
        <v>#DIV/0!</v>
      </c>
      <c r="J1099" s="413"/>
      <c r="K1099" s="401"/>
    </row>
    <row r="1100" spans="1:12" ht="34.5" customHeight="1" x14ac:dyDescent="0.25">
      <c r="A1100" s="394" t="s">
        <v>1361</v>
      </c>
      <c r="B1100" s="391">
        <v>908</v>
      </c>
      <c r="C1100" s="395" t="s">
        <v>234</v>
      </c>
      <c r="D1100" s="395" t="s">
        <v>215</v>
      </c>
      <c r="E1100" s="395" t="s">
        <v>543</v>
      </c>
      <c r="F1100" s="395"/>
      <c r="G1100" s="393">
        <f>G1101+G1132+G1105+G1139+G1143</f>
        <v>10811.800999999999</v>
      </c>
      <c r="H1100" s="393">
        <f t="shared" ref="H1100" si="495">H1101+H1132+H1105+H1139+H1143</f>
        <v>10260.266</v>
      </c>
      <c r="I1100" s="393">
        <f t="shared" si="493"/>
        <v>94.898768484547574</v>
      </c>
      <c r="J1100" s="413"/>
      <c r="K1100" s="401"/>
      <c r="L1100" s="192"/>
    </row>
    <row r="1101" spans="1:12" s="192" customFormat="1" ht="35.450000000000003" hidden="1" customHeight="1" x14ac:dyDescent="0.25">
      <c r="A1101" s="394" t="s">
        <v>1428</v>
      </c>
      <c r="B1101" s="391">
        <v>908</v>
      </c>
      <c r="C1101" s="395" t="s">
        <v>234</v>
      </c>
      <c r="D1101" s="395" t="s">
        <v>215</v>
      </c>
      <c r="E1101" s="395" t="s">
        <v>1271</v>
      </c>
      <c r="F1101" s="395"/>
      <c r="G1101" s="393">
        <f>G1102</f>
        <v>0</v>
      </c>
      <c r="H1101" s="393">
        <f t="shared" ref="H1101:H1103" si="496">H1102</f>
        <v>0</v>
      </c>
      <c r="I1101" s="393" t="e">
        <f t="shared" si="493"/>
        <v>#DIV/0!</v>
      </c>
      <c r="J1101" s="413"/>
      <c r="K1101" s="401"/>
    </row>
    <row r="1102" spans="1:12" s="192" customFormat="1" ht="21.2" hidden="1" customHeight="1" x14ac:dyDescent="0.25">
      <c r="A1102" s="289" t="s">
        <v>1429</v>
      </c>
      <c r="B1102" s="390">
        <v>908</v>
      </c>
      <c r="C1102" s="392" t="s">
        <v>234</v>
      </c>
      <c r="D1102" s="392" t="s">
        <v>215</v>
      </c>
      <c r="E1102" s="392" t="s">
        <v>1418</v>
      </c>
      <c r="F1102" s="392"/>
      <c r="G1102" s="397">
        <f>G1103</f>
        <v>0</v>
      </c>
      <c r="H1102" s="397">
        <f t="shared" si="496"/>
        <v>0</v>
      </c>
      <c r="I1102" s="393" t="e">
        <f t="shared" si="493"/>
        <v>#DIV/0!</v>
      </c>
      <c r="J1102" s="413"/>
      <c r="K1102" s="401"/>
    </row>
    <row r="1103" spans="1:12" s="192" customFormat="1" ht="35.450000000000003" hidden="1" customHeight="1" x14ac:dyDescent="0.25">
      <c r="A1103" s="396" t="s">
        <v>131</v>
      </c>
      <c r="B1103" s="390">
        <v>908</v>
      </c>
      <c r="C1103" s="392" t="s">
        <v>234</v>
      </c>
      <c r="D1103" s="392" t="s">
        <v>215</v>
      </c>
      <c r="E1103" s="392" t="s">
        <v>1418</v>
      </c>
      <c r="F1103" s="392" t="s">
        <v>132</v>
      </c>
      <c r="G1103" s="397">
        <f>G1104</f>
        <v>0</v>
      </c>
      <c r="H1103" s="397">
        <f t="shared" si="496"/>
        <v>0</v>
      </c>
      <c r="I1103" s="393" t="e">
        <f t="shared" si="493"/>
        <v>#DIV/0!</v>
      </c>
      <c r="J1103" s="413"/>
      <c r="K1103" s="401"/>
    </row>
    <row r="1104" spans="1:12" s="192" customFormat="1" ht="35.450000000000003" hidden="1" customHeight="1" x14ac:dyDescent="0.25">
      <c r="A1104" s="396" t="s">
        <v>133</v>
      </c>
      <c r="B1104" s="390">
        <v>908</v>
      </c>
      <c r="C1104" s="392" t="s">
        <v>234</v>
      </c>
      <c r="D1104" s="392" t="s">
        <v>215</v>
      </c>
      <c r="E1104" s="392" t="s">
        <v>1418</v>
      </c>
      <c r="F1104" s="392" t="s">
        <v>134</v>
      </c>
      <c r="G1104" s="397">
        <v>0</v>
      </c>
      <c r="H1104" s="397">
        <v>0</v>
      </c>
      <c r="I1104" s="393" t="e">
        <f t="shared" si="493"/>
        <v>#DIV/0!</v>
      </c>
      <c r="J1104" s="413"/>
      <c r="K1104" s="401"/>
    </row>
    <row r="1105" spans="1:18" s="192" customFormat="1" ht="35.450000000000003" customHeight="1" x14ac:dyDescent="0.25">
      <c r="A1105" s="394" t="s">
        <v>1443</v>
      </c>
      <c r="B1105" s="391">
        <v>908</v>
      </c>
      <c r="C1105" s="395" t="s">
        <v>234</v>
      </c>
      <c r="D1105" s="395" t="s">
        <v>215</v>
      </c>
      <c r="E1105" s="395" t="s">
        <v>1272</v>
      </c>
      <c r="F1105" s="395"/>
      <c r="G1105" s="393">
        <f>G1106+G1109+G1115+G1118+G1121+G1126+G1129</f>
        <v>2794.2000000000003</v>
      </c>
      <c r="H1105" s="393">
        <f t="shared" ref="H1105" si="497">H1106+H1109+H1115+H1118+H1121+H1126+H1129</f>
        <v>2243.5720000000001</v>
      </c>
      <c r="I1105" s="393">
        <f t="shared" si="493"/>
        <v>80.293894495741171</v>
      </c>
      <c r="J1105" s="413"/>
      <c r="K1105" s="401"/>
    </row>
    <row r="1106" spans="1:18" ht="19.5" customHeight="1" x14ac:dyDescent="0.25">
      <c r="A1106" s="396" t="s">
        <v>546</v>
      </c>
      <c r="B1106" s="390">
        <v>908</v>
      </c>
      <c r="C1106" s="392" t="s">
        <v>234</v>
      </c>
      <c r="D1106" s="392" t="s">
        <v>215</v>
      </c>
      <c r="E1106" s="392" t="s">
        <v>1427</v>
      </c>
      <c r="F1106" s="392"/>
      <c r="G1106" s="397">
        <f>G1107</f>
        <v>548.29999999999995</v>
      </c>
      <c r="H1106" s="397">
        <f t="shared" ref="H1106:H1107" si="498">H1107</f>
        <v>548.15200000000004</v>
      </c>
      <c r="I1106" s="397">
        <f t="shared" si="493"/>
        <v>99.973007477658243</v>
      </c>
      <c r="J1106" s="413"/>
      <c r="K1106" s="401"/>
      <c r="L1106" s="192"/>
    </row>
    <row r="1107" spans="1:18" ht="31.5" x14ac:dyDescent="0.25">
      <c r="A1107" s="396" t="s">
        <v>131</v>
      </c>
      <c r="B1107" s="390">
        <v>908</v>
      </c>
      <c r="C1107" s="392" t="s">
        <v>234</v>
      </c>
      <c r="D1107" s="392" t="s">
        <v>215</v>
      </c>
      <c r="E1107" s="392" t="s">
        <v>1427</v>
      </c>
      <c r="F1107" s="392" t="s">
        <v>132</v>
      </c>
      <c r="G1107" s="397">
        <f>G1108</f>
        <v>548.29999999999995</v>
      </c>
      <c r="H1107" s="397">
        <f t="shared" si="498"/>
        <v>548.15200000000004</v>
      </c>
      <c r="I1107" s="397">
        <f t="shared" si="493"/>
        <v>99.973007477658243</v>
      </c>
      <c r="J1107" s="413"/>
      <c r="K1107" s="401"/>
      <c r="L1107" s="192"/>
    </row>
    <row r="1108" spans="1:18" ht="31.5" x14ac:dyDescent="0.25">
      <c r="A1108" s="396" t="s">
        <v>133</v>
      </c>
      <c r="B1108" s="390">
        <v>908</v>
      </c>
      <c r="C1108" s="392" t="s">
        <v>234</v>
      </c>
      <c r="D1108" s="392" t="s">
        <v>215</v>
      </c>
      <c r="E1108" s="392" t="s">
        <v>1427</v>
      </c>
      <c r="F1108" s="392" t="s">
        <v>134</v>
      </c>
      <c r="G1108" s="397">
        <f>365-159.4-115+395.8-88.1+12-2.5+140.5</f>
        <v>548.29999999999995</v>
      </c>
      <c r="H1108" s="397">
        <v>548.15200000000004</v>
      </c>
      <c r="I1108" s="397">
        <f t="shared" si="493"/>
        <v>99.973007477658243</v>
      </c>
      <c r="J1108" s="413"/>
      <c r="K1108" s="401"/>
      <c r="L1108" s="424"/>
    </row>
    <row r="1109" spans="1:18" ht="15.75" x14ac:dyDescent="0.25">
      <c r="A1109" s="396" t="s">
        <v>1087</v>
      </c>
      <c r="B1109" s="390">
        <v>908</v>
      </c>
      <c r="C1109" s="392" t="s">
        <v>234</v>
      </c>
      <c r="D1109" s="392" t="s">
        <v>215</v>
      </c>
      <c r="E1109" s="392" t="s">
        <v>1417</v>
      </c>
      <c r="F1109" s="392"/>
      <c r="G1109" s="397">
        <f>G1110+G1112</f>
        <v>1922.8000000000002</v>
      </c>
      <c r="H1109" s="397">
        <f t="shared" ref="H1109" si="499">H1110+H1112</f>
        <v>1372.5150000000001</v>
      </c>
      <c r="I1109" s="397">
        <f t="shared" si="493"/>
        <v>71.381058872477638</v>
      </c>
      <c r="J1109" s="413"/>
      <c r="K1109" s="401"/>
      <c r="L1109" s="192"/>
    </row>
    <row r="1110" spans="1:18" ht="31.5" x14ac:dyDescent="0.25">
      <c r="A1110" s="396" t="s">
        <v>131</v>
      </c>
      <c r="B1110" s="390">
        <v>908</v>
      </c>
      <c r="C1110" s="392" t="s">
        <v>234</v>
      </c>
      <c r="D1110" s="392" t="s">
        <v>215</v>
      </c>
      <c r="E1110" s="392" t="s">
        <v>1417</v>
      </c>
      <c r="F1110" s="392" t="s">
        <v>132</v>
      </c>
      <c r="G1110" s="397">
        <f>G1111</f>
        <v>1922.8000000000002</v>
      </c>
      <c r="H1110" s="397">
        <f t="shared" ref="H1110" si="500">H1111</f>
        <v>1372.5150000000001</v>
      </c>
      <c r="I1110" s="397">
        <f t="shared" si="493"/>
        <v>71.381058872477638</v>
      </c>
      <c r="J1110" s="413"/>
      <c r="K1110" s="401"/>
      <c r="L1110" s="192"/>
    </row>
    <row r="1111" spans="1:18" ht="31.5" x14ac:dyDescent="0.25">
      <c r="A1111" s="396" t="s">
        <v>133</v>
      </c>
      <c r="B1111" s="390">
        <v>908</v>
      </c>
      <c r="C1111" s="392" t="s">
        <v>234</v>
      </c>
      <c r="D1111" s="392" t="s">
        <v>215</v>
      </c>
      <c r="E1111" s="392" t="s">
        <v>1417</v>
      </c>
      <c r="F1111" s="392" t="s">
        <v>134</v>
      </c>
      <c r="G1111" s="397">
        <f>1080+158+70+1700-123+105+524+29.8-51-70-1500</f>
        <v>1922.8000000000002</v>
      </c>
      <c r="H1111" s="397">
        <v>1372.5150000000001</v>
      </c>
      <c r="I1111" s="397">
        <f t="shared" si="493"/>
        <v>71.381058872477638</v>
      </c>
      <c r="J1111" s="413"/>
      <c r="K1111" s="401"/>
      <c r="L1111" s="192"/>
      <c r="O1111" s="424"/>
      <c r="P1111" s="192"/>
      <c r="R1111" s="424"/>
    </row>
    <row r="1112" spans="1:18" ht="15.75" hidden="1" x14ac:dyDescent="0.25">
      <c r="A1112" s="396" t="s">
        <v>135</v>
      </c>
      <c r="B1112" s="390">
        <v>908</v>
      </c>
      <c r="C1112" s="392" t="s">
        <v>234</v>
      </c>
      <c r="D1112" s="392" t="s">
        <v>215</v>
      </c>
      <c r="E1112" s="392" t="s">
        <v>1417</v>
      </c>
      <c r="F1112" s="392" t="s">
        <v>145</v>
      </c>
      <c r="G1112" s="397">
        <f>G1114+G1113</f>
        <v>0</v>
      </c>
      <c r="H1112" s="397">
        <f t="shared" ref="H1112" si="501">H1114+H1113</f>
        <v>0</v>
      </c>
      <c r="I1112" s="397" t="e">
        <f t="shared" si="493"/>
        <v>#DIV/0!</v>
      </c>
      <c r="J1112" s="413"/>
      <c r="K1112" s="401"/>
      <c r="L1112" s="192"/>
    </row>
    <row r="1113" spans="1:18" s="192" customFormat="1" ht="32.25" hidden="1" customHeight="1" x14ac:dyDescent="0.25">
      <c r="A1113" s="396" t="s">
        <v>835</v>
      </c>
      <c r="B1113" s="390">
        <v>908</v>
      </c>
      <c r="C1113" s="392" t="s">
        <v>234</v>
      </c>
      <c r="D1113" s="392" t="s">
        <v>215</v>
      </c>
      <c r="E1113" s="392" t="s">
        <v>1417</v>
      </c>
      <c r="F1113" s="392" t="s">
        <v>147</v>
      </c>
      <c r="G1113" s="397">
        <v>0</v>
      </c>
      <c r="H1113" s="397">
        <v>0</v>
      </c>
      <c r="I1113" s="397" t="e">
        <f t="shared" si="493"/>
        <v>#DIV/0!</v>
      </c>
      <c r="J1113" s="413"/>
      <c r="K1113" s="401"/>
    </row>
    <row r="1114" spans="1:18" ht="15.75" hidden="1" x14ac:dyDescent="0.25">
      <c r="A1114" s="396" t="s">
        <v>704</v>
      </c>
      <c r="B1114" s="390">
        <v>908</v>
      </c>
      <c r="C1114" s="392" t="s">
        <v>234</v>
      </c>
      <c r="D1114" s="392" t="s">
        <v>215</v>
      </c>
      <c r="E1114" s="392" t="s">
        <v>1417</v>
      </c>
      <c r="F1114" s="392" t="s">
        <v>138</v>
      </c>
      <c r="G1114" s="397">
        <f>3.4+37.5-40.9</f>
        <v>0</v>
      </c>
      <c r="H1114" s="397">
        <f t="shared" ref="H1114" si="502">3.4+37.5-40.9</f>
        <v>0</v>
      </c>
      <c r="I1114" s="397" t="e">
        <f t="shared" si="493"/>
        <v>#DIV/0!</v>
      </c>
      <c r="J1114" s="413"/>
      <c r="K1114" s="401"/>
      <c r="L1114" s="192"/>
    </row>
    <row r="1115" spans="1:18" ht="15.75" hidden="1" x14ac:dyDescent="0.25">
      <c r="A1115" s="396" t="s">
        <v>550</v>
      </c>
      <c r="B1115" s="390">
        <v>908</v>
      </c>
      <c r="C1115" s="392" t="s">
        <v>234</v>
      </c>
      <c r="D1115" s="392" t="s">
        <v>215</v>
      </c>
      <c r="E1115" s="392" t="s">
        <v>1296</v>
      </c>
      <c r="F1115" s="392"/>
      <c r="G1115" s="397">
        <f>G1116</f>
        <v>0</v>
      </c>
      <c r="H1115" s="397">
        <f t="shared" ref="H1115:H1116" si="503">H1116</f>
        <v>0</v>
      </c>
      <c r="I1115" s="397" t="e">
        <f t="shared" si="493"/>
        <v>#DIV/0!</v>
      </c>
      <c r="J1115" s="413"/>
      <c r="K1115" s="401"/>
      <c r="L1115" s="192"/>
    </row>
    <row r="1116" spans="1:18" ht="31.5" hidden="1" x14ac:dyDescent="0.25">
      <c r="A1116" s="396" t="s">
        <v>131</v>
      </c>
      <c r="B1116" s="390">
        <v>908</v>
      </c>
      <c r="C1116" s="392" t="s">
        <v>234</v>
      </c>
      <c r="D1116" s="392" t="s">
        <v>215</v>
      </c>
      <c r="E1116" s="392" t="s">
        <v>1296</v>
      </c>
      <c r="F1116" s="392" t="s">
        <v>132</v>
      </c>
      <c r="G1116" s="397">
        <f>G1117</f>
        <v>0</v>
      </c>
      <c r="H1116" s="397">
        <f t="shared" si="503"/>
        <v>0</v>
      </c>
      <c r="I1116" s="397" t="e">
        <f t="shared" si="493"/>
        <v>#DIV/0!</v>
      </c>
      <c r="J1116" s="413"/>
      <c r="K1116" s="401"/>
      <c r="L1116" s="192"/>
    </row>
    <row r="1117" spans="1:18" ht="31.5" hidden="1" x14ac:dyDescent="0.25">
      <c r="A1117" s="396" t="s">
        <v>133</v>
      </c>
      <c r="B1117" s="390">
        <v>908</v>
      </c>
      <c r="C1117" s="392" t="s">
        <v>234</v>
      </c>
      <c r="D1117" s="392" t="s">
        <v>215</v>
      </c>
      <c r="E1117" s="392" t="s">
        <v>1296</v>
      </c>
      <c r="F1117" s="392" t="s">
        <v>134</v>
      </c>
      <c r="G1117" s="397">
        <v>0</v>
      </c>
      <c r="H1117" s="397">
        <v>0</v>
      </c>
      <c r="I1117" s="397" t="e">
        <f t="shared" si="493"/>
        <v>#DIV/0!</v>
      </c>
      <c r="J1117" s="413"/>
      <c r="K1117" s="401"/>
      <c r="L1117" s="192"/>
    </row>
    <row r="1118" spans="1:18" ht="15.75" x14ac:dyDescent="0.25">
      <c r="A1118" s="396" t="s">
        <v>555</v>
      </c>
      <c r="B1118" s="390">
        <v>908</v>
      </c>
      <c r="C1118" s="392" t="s">
        <v>234</v>
      </c>
      <c r="D1118" s="392" t="s">
        <v>215</v>
      </c>
      <c r="E1118" s="392" t="s">
        <v>1273</v>
      </c>
      <c r="F1118" s="392"/>
      <c r="G1118" s="397">
        <f>G1119</f>
        <v>16.100000000000001</v>
      </c>
      <c r="H1118" s="397">
        <f t="shared" ref="H1118:H1119" si="504">H1119</f>
        <v>16.03</v>
      </c>
      <c r="I1118" s="397">
        <f t="shared" si="493"/>
        <v>99.565217391304344</v>
      </c>
      <c r="J1118" s="413"/>
      <c r="K1118" s="401"/>
      <c r="L1118" s="192"/>
    </row>
    <row r="1119" spans="1:18" ht="31.5" x14ac:dyDescent="0.25">
      <c r="A1119" s="396" t="s">
        <v>131</v>
      </c>
      <c r="B1119" s="390">
        <v>908</v>
      </c>
      <c r="C1119" s="392" t="s">
        <v>234</v>
      </c>
      <c r="D1119" s="392" t="s">
        <v>215</v>
      </c>
      <c r="E1119" s="392" t="s">
        <v>1273</v>
      </c>
      <c r="F1119" s="392" t="s">
        <v>132</v>
      </c>
      <c r="G1119" s="397">
        <f>G1120</f>
        <v>16.100000000000001</v>
      </c>
      <c r="H1119" s="397">
        <f t="shared" si="504"/>
        <v>16.03</v>
      </c>
      <c r="I1119" s="397">
        <f t="shared" si="493"/>
        <v>99.565217391304344</v>
      </c>
      <c r="J1119" s="413"/>
      <c r="K1119" s="401"/>
      <c r="L1119" s="192"/>
    </row>
    <row r="1120" spans="1:18" ht="36" customHeight="1" x14ac:dyDescent="0.25">
      <c r="A1120" s="396" t="s">
        <v>133</v>
      </c>
      <c r="B1120" s="390">
        <v>908</v>
      </c>
      <c r="C1120" s="392" t="s">
        <v>234</v>
      </c>
      <c r="D1120" s="392" t="s">
        <v>215</v>
      </c>
      <c r="E1120" s="392" t="s">
        <v>1273</v>
      </c>
      <c r="F1120" s="392" t="s">
        <v>134</v>
      </c>
      <c r="G1120" s="397">
        <f>50-33.9</f>
        <v>16.100000000000001</v>
      </c>
      <c r="H1120" s="397">
        <v>16.03</v>
      </c>
      <c r="I1120" s="397">
        <f t="shared" si="493"/>
        <v>99.565217391304344</v>
      </c>
      <c r="J1120" s="413"/>
      <c r="K1120" s="401"/>
      <c r="L1120" s="192"/>
    </row>
    <row r="1121" spans="1:12" ht="30.75" customHeight="1" x14ac:dyDescent="0.25">
      <c r="A1121" s="287" t="s">
        <v>1430</v>
      </c>
      <c r="B1121" s="390">
        <v>908</v>
      </c>
      <c r="C1121" s="392" t="s">
        <v>234</v>
      </c>
      <c r="D1121" s="392" t="s">
        <v>215</v>
      </c>
      <c r="E1121" s="392" t="s">
        <v>1274</v>
      </c>
      <c r="F1121" s="392"/>
      <c r="G1121" s="397">
        <f>G1122+G1124</f>
        <v>20.5</v>
      </c>
      <c r="H1121" s="397">
        <f t="shared" ref="H1121" si="505">H1122+H1124</f>
        <v>20.420000000000002</v>
      </c>
      <c r="I1121" s="397">
        <f t="shared" si="493"/>
        <v>99.609756097560989</v>
      </c>
      <c r="J1121" s="413"/>
      <c r="K1121" s="401"/>
      <c r="L1121" s="192"/>
    </row>
    <row r="1122" spans="1:12" ht="31.5" x14ac:dyDescent="0.25">
      <c r="A1122" s="396" t="s">
        <v>131</v>
      </c>
      <c r="B1122" s="390">
        <v>908</v>
      </c>
      <c r="C1122" s="392" t="s">
        <v>234</v>
      </c>
      <c r="D1122" s="392" t="s">
        <v>215</v>
      </c>
      <c r="E1122" s="392" t="s">
        <v>1274</v>
      </c>
      <c r="F1122" s="392" t="s">
        <v>132</v>
      </c>
      <c r="G1122" s="397">
        <f>G1123</f>
        <v>20.5</v>
      </c>
      <c r="H1122" s="397">
        <f t="shared" ref="H1122" si="506">H1123</f>
        <v>20.420000000000002</v>
      </c>
      <c r="I1122" s="397">
        <f t="shared" si="493"/>
        <v>99.609756097560989</v>
      </c>
      <c r="J1122" s="413"/>
      <c r="K1122" s="401"/>
      <c r="L1122" s="192"/>
    </row>
    <row r="1123" spans="1:12" ht="31.5" x14ac:dyDescent="0.25">
      <c r="A1123" s="396" t="s">
        <v>133</v>
      </c>
      <c r="B1123" s="390">
        <v>908</v>
      </c>
      <c r="C1123" s="392" t="s">
        <v>234</v>
      </c>
      <c r="D1123" s="392" t="s">
        <v>215</v>
      </c>
      <c r="E1123" s="392" t="s">
        <v>1274</v>
      </c>
      <c r="F1123" s="392" t="s">
        <v>134</v>
      </c>
      <c r="G1123" s="397">
        <f>300-190.6-104.9-4.5+21-0.5</f>
        <v>20.5</v>
      </c>
      <c r="H1123" s="397">
        <v>20.420000000000002</v>
      </c>
      <c r="I1123" s="397">
        <f t="shared" si="493"/>
        <v>99.609756097560989</v>
      </c>
      <c r="J1123" s="413"/>
      <c r="K1123" s="401"/>
      <c r="L1123" s="192"/>
    </row>
    <row r="1124" spans="1:12" s="192" customFormat="1" ht="15.75" hidden="1" x14ac:dyDescent="0.25">
      <c r="A1124" s="396" t="s">
        <v>135</v>
      </c>
      <c r="B1124" s="390">
        <v>908</v>
      </c>
      <c r="C1124" s="392" t="s">
        <v>234</v>
      </c>
      <c r="D1124" s="392" t="s">
        <v>215</v>
      </c>
      <c r="E1124" s="392" t="s">
        <v>1274</v>
      </c>
      <c r="F1124" s="392" t="s">
        <v>145</v>
      </c>
      <c r="G1124" s="397">
        <f>G1125</f>
        <v>0</v>
      </c>
      <c r="H1124" s="397">
        <f t="shared" ref="H1124" si="507">H1125</f>
        <v>0</v>
      </c>
      <c r="I1124" s="397" t="e">
        <f t="shared" si="493"/>
        <v>#DIV/0!</v>
      </c>
      <c r="J1124" s="413"/>
      <c r="K1124" s="401"/>
    </row>
    <row r="1125" spans="1:12" s="192" customFormat="1" ht="15.75" hidden="1" x14ac:dyDescent="0.25">
      <c r="A1125" s="396" t="s">
        <v>704</v>
      </c>
      <c r="B1125" s="390">
        <v>908</v>
      </c>
      <c r="C1125" s="392" t="s">
        <v>234</v>
      </c>
      <c r="D1125" s="392" t="s">
        <v>215</v>
      </c>
      <c r="E1125" s="392" t="s">
        <v>1274</v>
      </c>
      <c r="F1125" s="392" t="s">
        <v>138</v>
      </c>
      <c r="G1125" s="397">
        <f>75-75</f>
        <v>0</v>
      </c>
      <c r="H1125" s="397">
        <f t="shared" ref="H1125" si="508">75-75</f>
        <v>0</v>
      </c>
      <c r="I1125" s="397" t="e">
        <f t="shared" si="493"/>
        <v>#DIV/0!</v>
      </c>
      <c r="J1125" s="413"/>
      <c r="K1125" s="401"/>
    </row>
    <row r="1126" spans="1:12" ht="15.75" hidden="1" x14ac:dyDescent="0.25">
      <c r="A1126" s="45" t="s">
        <v>559</v>
      </c>
      <c r="B1126" s="390">
        <v>908</v>
      </c>
      <c r="C1126" s="392" t="s">
        <v>234</v>
      </c>
      <c r="D1126" s="392" t="s">
        <v>215</v>
      </c>
      <c r="E1126" s="392" t="s">
        <v>1275</v>
      </c>
      <c r="F1126" s="392"/>
      <c r="G1126" s="397">
        <f>G1127</f>
        <v>0</v>
      </c>
      <c r="H1126" s="397">
        <f t="shared" ref="H1126:H1127" si="509">H1127</f>
        <v>0</v>
      </c>
      <c r="I1126" s="397" t="e">
        <f t="shared" si="493"/>
        <v>#DIV/0!</v>
      </c>
      <c r="J1126" s="413"/>
      <c r="K1126" s="401"/>
      <c r="L1126" s="192"/>
    </row>
    <row r="1127" spans="1:12" ht="31.5" hidden="1" x14ac:dyDescent="0.25">
      <c r="A1127" s="396" t="s">
        <v>131</v>
      </c>
      <c r="B1127" s="390">
        <v>908</v>
      </c>
      <c r="C1127" s="392" t="s">
        <v>234</v>
      </c>
      <c r="D1127" s="392" t="s">
        <v>215</v>
      </c>
      <c r="E1127" s="392" t="s">
        <v>1275</v>
      </c>
      <c r="F1127" s="392" t="s">
        <v>132</v>
      </c>
      <c r="G1127" s="397">
        <f>G1128</f>
        <v>0</v>
      </c>
      <c r="H1127" s="397">
        <f t="shared" si="509"/>
        <v>0</v>
      </c>
      <c r="I1127" s="397" t="e">
        <f t="shared" si="493"/>
        <v>#DIV/0!</v>
      </c>
      <c r="J1127" s="413"/>
      <c r="K1127" s="401"/>
      <c r="L1127" s="192"/>
    </row>
    <row r="1128" spans="1:12" ht="31.5" hidden="1" x14ac:dyDescent="0.25">
      <c r="A1128" s="396" t="s">
        <v>133</v>
      </c>
      <c r="B1128" s="390">
        <v>908</v>
      </c>
      <c r="C1128" s="392" t="s">
        <v>234</v>
      </c>
      <c r="D1128" s="392" t="s">
        <v>215</v>
      </c>
      <c r="E1128" s="392" t="s">
        <v>1275</v>
      </c>
      <c r="F1128" s="392" t="s">
        <v>134</v>
      </c>
      <c r="G1128" s="397">
        <v>0</v>
      </c>
      <c r="H1128" s="397">
        <v>0</v>
      </c>
      <c r="I1128" s="397" t="e">
        <f t="shared" si="493"/>
        <v>#DIV/0!</v>
      </c>
      <c r="J1128" s="413"/>
      <c r="K1128" s="401"/>
      <c r="L1128" s="192"/>
    </row>
    <row r="1129" spans="1:12" s="192" customFormat="1" ht="31.5" x14ac:dyDescent="0.25">
      <c r="A1129" s="288" t="s">
        <v>1089</v>
      </c>
      <c r="B1129" s="390">
        <v>908</v>
      </c>
      <c r="C1129" s="392" t="s">
        <v>234</v>
      </c>
      <c r="D1129" s="392" t="s">
        <v>215</v>
      </c>
      <c r="E1129" s="392" t="s">
        <v>1276</v>
      </c>
      <c r="F1129" s="392"/>
      <c r="G1129" s="397">
        <f>G1130</f>
        <v>286.5</v>
      </c>
      <c r="H1129" s="397">
        <f t="shared" ref="H1129:H1130" si="510">H1130</f>
        <v>286.45499999999998</v>
      </c>
      <c r="I1129" s="397">
        <f t="shared" si="493"/>
        <v>99.984293193717278</v>
      </c>
      <c r="J1129" s="413"/>
      <c r="K1129" s="401"/>
    </row>
    <row r="1130" spans="1:12" s="192" customFormat="1" ht="31.5" x14ac:dyDescent="0.25">
      <c r="A1130" s="396" t="s">
        <v>131</v>
      </c>
      <c r="B1130" s="390">
        <v>908</v>
      </c>
      <c r="C1130" s="392" t="s">
        <v>234</v>
      </c>
      <c r="D1130" s="392" t="s">
        <v>215</v>
      </c>
      <c r="E1130" s="392" t="s">
        <v>1276</v>
      </c>
      <c r="F1130" s="392" t="s">
        <v>132</v>
      </c>
      <c r="G1130" s="397">
        <f>G1131</f>
        <v>286.5</v>
      </c>
      <c r="H1130" s="397">
        <f t="shared" si="510"/>
        <v>286.45499999999998</v>
      </c>
      <c r="I1130" s="397">
        <f t="shared" si="493"/>
        <v>99.984293193717278</v>
      </c>
      <c r="J1130" s="413"/>
      <c r="K1130" s="401"/>
    </row>
    <row r="1131" spans="1:12" s="192" customFormat="1" ht="31.5" x14ac:dyDescent="0.25">
      <c r="A1131" s="396" t="s">
        <v>133</v>
      </c>
      <c r="B1131" s="390">
        <v>908</v>
      </c>
      <c r="C1131" s="392" t="s">
        <v>234</v>
      </c>
      <c r="D1131" s="392" t="s">
        <v>215</v>
      </c>
      <c r="E1131" s="392" t="s">
        <v>1276</v>
      </c>
      <c r="F1131" s="392" t="s">
        <v>134</v>
      </c>
      <c r="G1131" s="397">
        <f>50+130+244-142.5+5</f>
        <v>286.5</v>
      </c>
      <c r="H1131" s="397">
        <v>286.45499999999998</v>
      </c>
      <c r="I1131" s="397">
        <f t="shared" si="493"/>
        <v>99.984293193717278</v>
      </c>
      <c r="J1131" s="413"/>
      <c r="K1131" s="401"/>
    </row>
    <row r="1132" spans="1:12" s="192" customFormat="1" ht="31.5" x14ac:dyDescent="0.25">
      <c r="A1132" s="394" t="s">
        <v>890</v>
      </c>
      <c r="B1132" s="391">
        <v>908</v>
      </c>
      <c r="C1132" s="395" t="s">
        <v>234</v>
      </c>
      <c r="D1132" s="395" t="s">
        <v>215</v>
      </c>
      <c r="E1132" s="395" t="s">
        <v>1294</v>
      </c>
      <c r="F1132" s="395"/>
      <c r="G1132" s="393">
        <f>G1133+G1136</f>
        <v>1857.2</v>
      </c>
      <c r="H1132" s="393">
        <f t="shared" ref="H1132" si="511">H1133+H1136</f>
        <v>1856.3209999999999</v>
      </c>
      <c r="I1132" s="393">
        <f t="shared" si="493"/>
        <v>99.952670687055772</v>
      </c>
      <c r="J1132" s="413"/>
      <c r="K1132" s="401"/>
    </row>
    <row r="1133" spans="1:12" s="192" customFormat="1" ht="31.5" hidden="1" x14ac:dyDescent="0.25">
      <c r="A1133" s="396" t="s">
        <v>690</v>
      </c>
      <c r="B1133" s="390">
        <v>908</v>
      </c>
      <c r="C1133" s="392" t="s">
        <v>234</v>
      </c>
      <c r="D1133" s="392" t="s">
        <v>215</v>
      </c>
      <c r="E1133" s="392" t="s">
        <v>1325</v>
      </c>
      <c r="F1133" s="392"/>
      <c r="G1133" s="397">
        <f>G1134</f>
        <v>0</v>
      </c>
      <c r="H1133" s="397">
        <f t="shared" ref="H1133:H1134" si="512">H1134</f>
        <v>0</v>
      </c>
      <c r="I1133" s="397" t="e">
        <f t="shared" si="493"/>
        <v>#DIV/0!</v>
      </c>
      <c r="J1133" s="413"/>
      <c r="K1133" s="401"/>
    </row>
    <row r="1134" spans="1:12" s="192" customFormat="1" ht="31.5" hidden="1" x14ac:dyDescent="0.25">
      <c r="A1134" s="396" t="s">
        <v>131</v>
      </c>
      <c r="B1134" s="390">
        <v>908</v>
      </c>
      <c r="C1134" s="392" t="s">
        <v>234</v>
      </c>
      <c r="D1134" s="392" t="s">
        <v>215</v>
      </c>
      <c r="E1134" s="392" t="s">
        <v>1325</v>
      </c>
      <c r="F1134" s="392" t="s">
        <v>132</v>
      </c>
      <c r="G1134" s="397">
        <f>G1135</f>
        <v>0</v>
      </c>
      <c r="H1134" s="397">
        <f t="shared" si="512"/>
        <v>0</v>
      </c>
      <c r="I1134" s="397" t="e">
        <f t="shared" si="493"/>
        <v>#DIV/0!</v>
      </c>
      <c r="J1134" s="413"/>
      <c r="K1134" s="401"/>
    </row>
    <row r="1135" spans="1:12" s="192" customFormat="1" ht="31.5" hidden="1" x14ac:dyDescent="0.25">
      <c r="A1135" s="396" t="s">
        <v>133</v>
      </c>
      <c r="B1135" s="390">
        <v>908</v>
      </c>
      <c r="C1135" s="392" t="s">
        <v>234</v>
      </c>
      <c r="D1135" s="392" t="s">
        <v>215</v>
      </c>
      <c r="E1135" s="392" t="s">
        <v>1325</v>
      </c>
      <c r="F1135" s="392" t="s">
        <v>134</v>
      </c>
      <c r="G1135" s="397">
        <v>0</v>
      </c>
      <c r="H1135" s="397">
        <v>0</v>
      </c>
      <c r="I1135" s="397" t="e">
        <f t="shared" si="493"/>
        <v>#DIV/0!</v>
      </c>
      <c r="J1135" s="413"/>
      <c r="K1135" s="401"/>
    </row>
    <row r="1136" spans="1:12" s="192" customFormat="1" ht="47.25" x14ac:dyDescent="0.25">
      <c r="A1136" s="396" t="s">
        <v>1071</v>
      </c>
      <c r="B1136" s="390">
        <v>908</v>
      </c>
      <c r="C1136" s="392" t="s">
        <v>234</v>
      </c>
      <c r="D1136" s="392" t="s">
        <v>215</v>
      </c>
      <c r="E1136" s="392" t="s">
        <v>1293</v>
      </c>
      <c r="F1136" s="392"/>
      <c r="G1136" s="480">
        <f>G1137</f>
        <v>1857.2</v>
      </c>
      <c r="H1136" s="397">
        <f t="shared" ref="H1136:H1137" si="513">H1137</f>
        <v>1856.3209999999999</v>
      </c>
      <c r="I1136" s="397">
        <f t="shared" si="493"/>
        <v>99.952670687055772</v>
      </c>
      <c r="J1136" s="413"/>
      <c r="K1136" s="401"/>
    </row>
    <row r="1137" spans="1:12" s="192" customFormat="1" ht="31.5" x14ac:dyDescent="0.25">
      <c r="A1137" s="396" t="s">
        <v>131</v>
      </c>
      <c r="B1137" s="390">
        <v>908</v>
      </c>
      <c r="C1137" s="392" t="s">
        <v>234</v>
      </c>
      <c r="D1137" s="392" t="s">
        <v>215</v>
      </c>
      <c r="E1137" s="392" t="s">
        <v>1293</v>
      </c>
      <c r="F1137" s="392" t="s">
        <v>132</v>
      </c>
      <c r="G1137" s="480">
        <f>G1138</f>
        <v>1857.2</v>
      </c>
      <c r="H1137" s="397">
        <f t="shared" si="513"/>
        <v>1856.3209999999999</v>
      </c>
      <c r="I1137" s="397">
        <f t="shared" si="493"/>
        <v>99.952670687055772</v>
      </c>
      <c r="J1137" s="413"/>
      <c r="K1137" s="401"/>
    </row>
    <row r="1138" spans="1:12" s="192" customFormat="1" ht="31.5" x14ac:dyDescent="0.25">
      <c r="A1138" s="396" t="s">
        <v>133</v>
      </c>
      <c r="B1138" s="390">
        <v>908</v>
      </c>
      <c r="C1138" s="392" t="s">
        <v>234</v>
      </c>
      <c r="D1138" s="392" t="s">
        <v>215</v>
      </c>
      <c r="E1138" s="392" t="s">
        <v>1293</v>
      </c>
      <c r="F1138" s="392" t="s">
        <v>134</v>
      </c>
      <c r="G1138" s="480">
        <v>1857.2</v>
      </c>
      <c r="H1138" s="397">
        <v>1856.3209999999999</v>
      </c>
      <c r="I1138" s="397">
        <f t="shared" si="493"/>
        <v>99.952670687055772</v>
      </c>
      <c r="J1138" s="413"/>
      <c r="K1138" s="401"/>
    </row>
    <row r="1139" spans="1:12" s="192" customFormat="1" ht="31.5" x14ac:dyDescent="0.25">
      <c r="A1139" s="34" t="s">
        <v>1571</v>
      </c>
      <c r="B1139" s="391">
        <v>908</v>
      </c>
      <c r="C1139" s="395" t="s">
        <v>234</v>
      </c>
      <c r="D1139" s="395" t="s">
        <v>215</v>
      </c>
      <c r="E1139" s="395" t="s">
        <v>1572</v>
      </c>
      <c r="F1139" s="395"/>
      <c r="G1139" s="486">
        <f>G1140</f>
        <v>1523.201</v>
      </c>
      <c r="H1139" s="393">
        <f t="shared" ref="H1139:H1141" si="514">H1140</f>
        <v>1523.1969999999999</v>
      </c>
      <c r="I1139" s="393">
        <f t="shared" si="493"/>
        <v>99.999737395130367</v>
      </c>
      <c r="J1139" s="413"/>
      <c r="K1139" s="401"/>
    </row>
    <row r="1140" spans="1:12" s="192" customFormat="1" ht="15.75" x14ac:dyDescent="0.25">
      <c r="A1140" s="31" t="s">
        <v>1570</v>
      </c>
      <c r="B1140" s="390">
        <v>908</v>
      </c>
      <c r="C1140" s="392" t="s">
        <v>234</v>
      </c>
      <c r="D1140" s="392" t="s">
        <v>215</v>
      </c>
      <c r="E1140" s="392" t="s">
        <v>1573</v>
      </c>
      <c r="F1140" s="392"/>
      <c r="G1140" s="480">
        <f>G1141</f>
        <v>1523.201</v>
      </c>
      <c r="H1140" s="397">
        <f t="shared" si="514"/>
        <v>1523.1969999999999</v>
      </c>
      <c r="I1140" s="397">
        <f t="shared" si="493"/>
        <v>99.999737395130367</v>
      </c>
      <c r="J1140" s="413"/>
      <c r="K1140" s="401"/>
    </row>
    <row r="1141" spans="1:12" s="192" customFormat="1" ht="31.5" x14ac:dyDescent="0.25">
      <c r="A1141" s="396" t="s">
        <v>131</v>
      </c>
      <c r="B1141" s="390">
        <v>908</v>
      </c>
      <c r="C1141" s="392" t="s">
        <v>234</v>
      </c>
      <c r="D1141" s="392" t="s">
        <v>215</v>
      </c>
      <c r="E1141" s="392" t="s">
        <v>1573</v>
      </c>
      <c r="F1141" s="392" t="s">
        <v>132</v>
      </c>
      <c r="G1141" s="480">
        <f>G1142</f>
        <v>1523.201</v>
      </c>
      <c r="H1141" s="397">
        <f t="shared" si="514"/>
        <v>1523.1969999999999</v>
      </c>
      <c r="I1141" s="397">
        <f t="shared" si="493"/>
        <v>99.999737395130367</v>
      </c>
      <c r="J1141" s="413"/>
      <c r="K1141" s="401"/>
    </row>
    <row r="1142" spans="1:12" s="192" customFormat="1" ht="31.5" x14ac:dyDescent="0.25">
      <c r="A1142" s="396" t="s">
        <v>133</v>
      </c>
      <c r="B1142" s="390">
        <v>908</v>
      </c>
      <c r="C1142" s="392" t="s">
        <v>234</v>
      </c>
      <c r="D1142" s="392" t="s">
        <v>215</v>
      </c>
      <c r="E1142" s="392" t="s">
        <v>1573</v>
      </c>
      <c r="F1142" s="392" t="s">
        <v>134</v>
      </c>
      <c r="G1142" s="480">
        <f>501.7+21.5+959+41.001</f>
        <v>1523.201</v>
      </c>
      <c r="H1142" s="397">
        <v>1523.1969999999999</v>
      </c>
      <c r="I1142" s="397">
        <f t="shared" si="493"/>
        <v>99.999737395130367</v>
      </c>
      <c r="J1142" s="422"/>
      <c r="K1142" s="401"/>
    </row>
    <row r="1143" spans="1:12" s="192" customFormat="1" ht="31.5" x14ac:dyDescent="0.25">
      <c r="A1143" s="34" t="s">
        <v>1599</v>
      </c>
      <c r="B1143" s="391">
        <v>908</v>
      </c>
      <c r="C1143" s="395" t="s">
        <v>234</v>
      </c>
      <c r="D1143" s="395" t="s">
        <v>215</v>
      </c>
      <c r="E1143" s="395" t="s">
        <v>1596</v>
      </c>
      <c r="F1143" s="395"/>
      <c r="G1143" s="486">
        <f>G1144</f>
        <v>4637.2</v>
      </c>
      <c r="H1143" s="393">
        <f t="shared" ref="H1143:H1145" si="515">H1144</f>
        <v>4637.1760000000004</v>
      </c>
      <c r="I1143" s="393">
        <f t="shared" si="493"/>
        <v>99.999482446303816</v>
      </c>
      <c r="J1143" s="427"/>
      <c r="K1143" s="401"/>
    </row>
    <row r="1144" spans="1:12" s="192" customFormat="1" ht="31.5" x14ac:dyDescent="0.25">
      <c r="A1144" s="31" t="s">
        <v>1597</v>
      </c>
      <c r="B1144" s="390">
        <v>908</v>
      </c>
      <c r="C1144" s="392" t="s">
        <v>234</v>
      </c>
      <c r="D1144" s="392" t="s">
        <v>215</v>
      </c>
      <c r="E1144" s="392" t="s">
        <v>1605</v>
      </c>
      <c r="F1144" s="392"/>
      <c r="G1144" s="480">
        <f>G1145</f>
        <v>4637.2</v>
      </c>
      <c r="H1144" s="397">
        <f t="shared" si="515"/>
        <v>4637.1760000000004</v>
      </c>
      <c r="I1144" s="397">
        <f t="shared" si="493"/>
        <v>99.999482446303816</v>
      </c>
      <c r="J1144" s="427"/>
      <c r="K1144" s="401"/>
    </row>
    <row r="1145" spans="1:12" s="192" customFormat="1" ht="31.5" x14ac:dyDescent="0.25">
      <c r="A1145" s="396" t="s">
        <v>131</v>
      </c>
      <c r="B1145" s="390">
        <v>908</v>
      </c>
      <c r="C1145" s="392" t="s">
        <v>234</v>
      </c>
      <c r="D1145" s="392" t="s">
        <v>215</v>
      </c>
      <c r="E1145" s="392" t="s">
        <v>1605</v>
      </c>
      <c r="F1145" s="392" t="s">
        <v>132</v>
      </c>
      <c r="G1145" s="480">
        <f>G1146</f>
        <v>4637.2</v>
      </c>
      <c r="H1145" s="397">
        <f t="shared" si="515"/>
        <v>4637.1760000000004</v>
      </c>
      <c r="I1145" s="397">
        <f t="shared" si="493"/>
        <v>99.999482446303816</v>
      </c>
      <c r="J1145" s="427"/>
      <c r="K1145" s="401"/>
    </row>
    <row r="1146" spans="1:12" s="192" customFormat="1" ht="31.5" x14ac:dyDescent="0.25">
      <c r="A1146" s="396" t="s">
        <v>133</v>
      </c>
      <c r="B1146" s="390">
        <v>908</v>
      </c>
      <c r="C1146" s="392" t="s">
        <v>234</v>
      </c>
      <c r="D1146" s="392" t="s">
        <v>215</v>
      </c>
      <c r="E1146" s="392" t="s">
        <v>1605</v>
      </c>
      <c r="F1146" s="392" t="s">
        <v>134</v>
      </c>
      <c r="G1146" s="480">
        <f>4173.5+463.7</f>
        <v>4637.2</v>
      </c>
      <c r="H1146" s="397">
        <v>4637.1760000000004</v>
      </c>
      <c r="I1146" s="397">
        <f t="shared" si="493"/>
        <v>99.999482446303816</v>
      </c>
      <c r="J1146" s="427"/>
      <c r="K1146" s="401"/>
    </row>
    <row r="1147" spans="1:12" ht="51" customHeight="1" x14ac:dyDescent="0.25">
      <c r="A1147" s="394" t="s">
        <v>1539</v>
      </c>
      <c r="B1147" s="391">
        <v>908</v>
      </c>
      <c r="C1147" s="395" t="s">
        <v>234</v>
      </c>
      <c r="D1147" s="395" t="s">
        <v>215</v>
      </c>
      <c r="E1147" s="395" t="s">
        <v>711</v>
      </c>
      <c r="F1147" s="395"/>
      <c r="G1147" s="486">
        <f>G1148+G1152</f>
        <v>24365.510000000002</v>
      </c>
      <c r="H1147" s="393">
        <f t="shared" ref="H1147" si="516">H1148+H1152</f>
        <v>22808.713</v>
      </c>
      <c r="I1147" s="393">
        <f t="shared" si="493"/>
        <v>93.610652927026763</v>
      </c>
      <c r="J1147" s="413"/>
      <c r="K1147" s="401"/>
      <c r="L1147" s="192"/>
    </row>
    <row r="1148" spans="1:12" s="192" customFormat="1" ht="34.5" customHeight="1" x14ac:dyDescent="0.25">
      <c r="A1148" s="394" t="s">
        <v>1067</v>
      </c>
      <c r="B1148" s="391">
        <v>908</v>
      </c>
      <c r="C1148" s="395" t="s">
        <v>234</v>
      </c>
      <c r="D1148" s="395" t="s">
        <v>215</v>
      </c>
      <c r="E1148" s="395" t="s">
        <v>1088</v>
      </c>
      <c r="F1148" s="395"/>
      <c r="G1148" s="486">
        <f>G1149</f>
        <v>22809.004000000001</v>
      </c>
      <c r="H1148" s="393">
        <f t="shared" ref="H1148:H1150" si="517">H1149</f>
        <v>22808.713</v>
      </c>
      <c r="I1148" s="393">
        <f t="shared" si="493"/>
        <v>99.998724188044335</v>
      </c>
      <c r="J1148" s="413"/>
      <c r="K1148" s="401"/>
    </row>
    <row r="1149" spans="1:12" ht="48.75" customHeight="1" x14ac:dyDescent="0.25">
      <c r="A1149" s="80" t="s">
        <v>693</v>
      </c>
      <c r="B1149" s="390">
        <v>908</v>
      </c>
      <c r="C1149" s="392" t="s">
        <v>234</v>
      </c>
      <c r="D1149" s="392" t="s">
        <v>215</v>
      </c>
      <c r="E1149" s="392" t="s">
        <v>834</v>
      </c>
      <c r="F1149" s="392"/>
      <c r="G1149" s="480">
        <f>G1150</f>
        <v>22809.004000000001</v>
      </c>
      <c r="H1149" s="397">
        <f t="shared" si="517"/>
        <v>22808.713</v>
      </c>
      <c r="I1149" s="397">
        <f t="shared" si="493"/>
        <v>99.998724188044335</v>
      </c>
      <c r="J1149" s="413"/>
      <c r="K1149" s="401"/>
      <c r="L1149" s="192"/>
    </row>
    <row r="1150" spans="1:12" ht="31.5" x14ac:dyDescent="0.25">
      <c r="A1150" s="396" t="s">
        <v>131</v>
      </c>
      <c r="B1150" s="390">
        <v>908</v>
      </c>
      <c r="C1150" s="392" t="s">
        <v>234</v>
      </c>
      <c r="D1150" s="392" t="s">
        <v>215</v>
      </c>
      <c r="E1150" s="392" t="s">
        <v>834</v>
      </c>
      <c r="F1150" s="392" t="s">
        <v>132</v>
      </c>
      <c r="G1150" s="397">
        <f>G1151</f>
        <v>22809.004000000001</v>
      </c>
      <c r="H1150" s="397">
        <f t="shared" si="517"/>
        <v>22808.713</v>
      </c>
      <c r="I1150" s="397">
        <f t="shared" si="493"/>
        <v>99.998724188044335</v>
      </c>
      <c r="J1150" s="413"/>
      <c r="K1150" s="401"/>
      <c r="L1150" s="192"/>
    </row>
    <row r="1151" spans="1:12" ht="31.5" x14ac:dyDescent="0.25">
      <c r="A1151" s="396" t="s">
        <v>133</v>
      </c>
      <c r="B1151" s="390">
        <v>908</v>
      </c>
      <c r="C1151" s="392" t="s">
        <v>234</v>
      </c>
      <c r="D1151" s="392" t="s">
        <v>215</v>
      </c>
      <c r="E1151" s="392" t="s">
        <v>834</v>
      </c>
      <c r="F1151" s="392" t="s">
        <v>134</v>
      </c>
      <c r="G1151" s="397">
        <f>500+874+21435.004</f>
        <v>22809.004000000001</v>
      </c>
      <c r="H1151" s="397">
        <v>22808.713</v>
      </c>
      <c r="I1151" s="397">
        <f t="shared" si="493"/>
        <v>99.998724188044335</v>
      </c>
      <c r="J1151" s="413"/>
      <c r="K1151" s="401"/>
      <c r="L1151" s="192"/>
    </row>
    <row r="1152" spans="1:12" s="192" customFormat="1" ht="98.25" customHeight="1" x14ac:dyDescent="0.25">
      <c r="A1152" s="394" t="s">
        <v>1601</v>
      </c>
      <c r="B1152" s="391">
        <v>908</v>
      </c>
      <c r="C1152" s="395" t="s">
        <v>234</v>
      </c>
      <c r="D1152" s="395" t="s">
        <v>215</v>
      </c>
      <c r="E1152" s="395" t="s">
        <v>1602</v>
      </c>
      <c r="F1152" s="395"/>
      <c r="G1152" s="393">
        <f>G1153</f>
        <v>1556.5060000000001</v>
      </c>
      <c r="H1152" s="393">
        <f t="shared" ref="H1152:H1154" si="518">H1153</f>
        <v>0</v>
      </c>
      <c r="I1152" s="393">
        <f t="shared" si="493"/>
        <v>0</v>
      </c>
      <c r="J1152" s="413"/>
      <c r="K1152" s="401"/>
    </row>
    <row r="1153" spans="1:12" s="192" customFormat="1" ht="92.25" customHeight="1" x14ac:dyDescent="0.25">
      <c r="A1153" s="80" t="s">
        <v>1644</v>
      </c>
      <c r="B1153" s="390">
        <v>908</v>
      </c>
      <c r="C1153" s="392" t="s">
        <v>234</v>
      </c>
      <c r="D1153" s="392" t="s">
        <v>215</v>
      </c>
      <c r="E1153" s="392" t="s">
        <v>1603</v>
      </c>
      <c r="F1153" s="392"/>
      <c r="G1153" s="397">
        <f>G1154</f>
        <v>1556.5060000000001</v>
      </c>
      <c r="H1153" s="397">
        <f t="shared" si="518"/>
        <v>0</v>
      </c>
      <c r="I1153" s="397">
        <f t="shared" si="493"/>
        <v>0</v>
      </c>
      <c r="J1153" s="413"/>
      <c r="K1153" s="401"/>
    </row>
    <row r="1154" spans="1:12" s="192" customFormat="1" ht="31.5" x14ac:dyDescent="0.25">
      <c r="A1154" s="396" t="s">
        <v>131</v>
      </c>
      <c r="B1154" s="390">
        <v>908</v>
      </c>
      <c r="C1154" s="392" t="s">
        <v>234</v>
      </c>
      <c r="D1154" s="392" t="s">
        <v>215</v>
      </c>
      <c r="E1154" s="392" t="s">
        <v>1603</v>
      </c>
      <c r="F1154" s="392" t="s">
        <v>132</v>
      </c>
      <c r="G1154" s="397">
        <f>G1155</f>
        <v>1556.5060000000001</v>
      </c>
      <c r="H1154" s="397">
        <f t="shared" si="518"/>
        <v>0</v>
      </c>
      <c r="I1154" s="397">
        <f t="shared" si="493"/>
        <v>0</v>
      </c>
      <c r="J1154" s="413"/>
      <c r="K1154" s="401"/>
    </row>
    <row r="1155" spans="1:12" s="192" customFormat="1" ht="31.5" x14ac:dyDescent="0.25">
      <c r="A1155" s="489" t="s">
        <v>133</v>
      </c>
      <c r="B1155" s="478">
        <v>908</v>
      </c>
      <c r="C1155" s="479" t="s">
        <v>234</v>
      </c>
      <c r="D1155" s="479" t="s">
        <v>215</v>
      </c>
      <c r="E1155" s="479" t="s">
        <v>1603</v>
      </c>
      <c r="F1155" s="479" t="s">
        <v>134</v>
      </c>
      <c r="G1155" s="480">
        <v>1556.5060000000001</v>
      </c>
      <c r="H1155" s="480">
        <v>0</v>
      </c>
      <c r="I1155" s="397">
        <f t="shared" si="493"/>
        <v>0</v>
      </c>
      <c r="J1155" s="413"/>
      <c r="K1155" s="401"/>
    </row>
    <row r="1156" spans="1:12" ht="31.5" x14ac:dyDescent="0.25">
      <c r="A1156" s="394" t="s">
        <v>569</v>
      </c>
      <c r="B1156" s="391">
        <v>908</v>
      </c>
      <c r="C1156" s="395" t="s">
        <v>234</v>
      </c>
      <c r="D1156" s="395" t="s">
        <v>234</v>
      </c>
      <c r="E1156" s="395"/>
      <c r="F1156" s="395"/>
      <c r="G1156" s="393">
        <f>G1157+G1172+G1197</f>
        <v>49818.904799999989</v>
      </c>
      <c r="H1156" s="393">
        <f t="shared" ref="H1156" si="519">H1157+H1172+H1197</f>
        <v>49104.581000000006</v>
      </c>
      <c r="I1156" s="393">
        <f t="shared" si="493"/>
        <v>98.566159166148537</v>
      </c>
      <c r="J1156" s="413"/>
      <c r="K1156" s="401"/>
      <c r="L1156" s="192"/>
    </row>
    <row r="1157" spans="1:12" ht="31.5" x14ac:dyDescent="0.25">
      <c r="A1157" s="394" t="s">
        <v>916</v>
      </c>
      <c r="B1157" s="391">
        <v>908</v>
      </c>
      <c r="C1157" s="395" t="s">
        <v>234</v>
      </c>
      <c r="D1157" s="395" t="s">
        <v>234</v>
      </c>
      <c r="E1157" s="395" t="s">
        <v>857</v>
      </c>
      <c r="F1157" s="395"/>
      <c r="G1157" s="393">
        <f>G1158</f>
        <v>15526.148799999999</v>
      </c>
      <c r="H1157" s="393">
        <f t="shared" ref="H1157" si="520">H1158</f>
        <v>15256.776999999998</v>
      </c>
      <c r="I1157" s="393">
        <f t="shared" si="493"/>
        <v>98.265044323161447</v>
      </c>
      <c r="J1157" s="413"/>
      <c r="K1157" s="401"/>
      <c r="L1157" s="192"/>
    </row>
    <row r="1158" spans="1:12" ht="15.75" x14ac:dyDescent="0.25">
      <c r="A1158" s="394" t="s">
        <v>917</v>
      </c>
      <c r="B1158" s="391">
        <v>908</v>
      </c>
      <c r="C1158" s="395" t="s">
        <v>234</v>
      </c>
      <c r="D1158" s="395" t="s">
        <v>234</v>
      </c>
      <c r="E1158" s="395" t="s">
        <v>858</v>
      </c>
      <c r="F1158" s="395"/>
      <c r="G1158" s="393">
        <f>G1159+G1166+G1169</f>
        <v>15526.148799999999</v>
      </c>
      <c r="H1158" s="393">
        <f t="shared" ref="H1158" si="521">H1159+H1166+H1169</f>
        <v>15256.776999999998</v>
      </c>
      <c r="I1158" s="393">
        <f t="shared" si="493"/>
        <v>98.265044323161447</v>
      </c>
      <c r="J1158" s="413"/>
      <c r="K1158" s="401"/>
      <c r="L1158" s="192"/>
    </row>
    <row r="1159" spans="1:12" ht="31.9" customHeight="1" x14ac:dyDescent="0.25">
      <c r="A1159" s="396" t="s">
        <v>896</v>
      </c>
      <c r="B1159" s="390">
        <v>908</v>
      </c>
      <c r="C1159" s="392" t="s">
        <v>234</v>
      </c>
      <c r="D1159" s="392" t="s">
        <v>234</v>
      </c>
      <c r="E1159" s="392" t="s">
        <v>859</v>
      </c>
      <c r="F1159" s="392"/>
      <c r="G1159" s="397">
        <f>G1160+G1164+G1162</f>
        <v>14774.999999999998</v>
      </c>
      <c r="H1159" s="397">
        <f t="shared" ref="H1159" si="522">H1160+H1164+H1162</f>
        <v>14517.928999999998</v>
      </c>
      <c r="I1159" s="397">
        <f t="shared" si="493"/>
        <v>98.260094754653124</v>
      </c>
      <c r="J1159" s="413"/>
      <c r="K1159" s="401"/>
      <c r="L1159" s="192"/>
    </row>
    <row r="1160" spans="1:12" ht="60.75" customHeight="1" x14ac:dyDescent="0.25">
      <c r="A1160" s="396" t="s">
        <v>127</v>
      </c>
      <c r="B1160" s="390">
        <v>908</v>
      </c>
      <c r="C1160" s="392" t="s">
        <v>234</v>
      </c>
      <c r="D1160" s="392" t="s">
        <v>234</v>
      </c>
      <c r="E1160" s="392" t="s">
        <v>859</v>
      </c>
      <c r="F1160" s="392" t="s">
        <v>128</v>
      </c>
      <c r="G1160" s="397">
        <f>G1161</f>
        <v>14713.699999999999</v>
      </c>
      <c r="H1160" s="397">
        <f t="shared" ref="H1160" si="523">H1161</f>
        <v>14458.102999999999</v>
      </c>
      <c r="I1160" s="397">
        <f t="shared" si="493"/>
        <v>98.262863861571191</v>
      </c>
      <c r="J1160" s="413"/>
      <c r="K1160" s="401"/>
      <c r="L1160" s="192"/>
    </row>
    <row r="1161" spans="1:12" ht="31.5" x14ac:dyDescent="0.25">
      <c r="A1161" s="396" t="s">
        <v>129</v>
      </c>
      <c r="B1161" s="390">
        <v>908</v>
      </c>
      <c r="C1161" s="392" t="s">
        <v>234</v>
      </c>
      <c r="D1161" s="392" t="s">
        <v>234</v>
      </c>
      <c r="E1161" s="392" t="s">
        <v>859</v>
      </c>
      <c r="F1161" s="392" t="s">
        <v>130</v>
      </c>
      <c r="G1161" s="27">
        <f>12439.3-4500-815.5-196.2+3353.5+520-30+800+419.7+1691.9+1000+31</f>
        <v>14713.699999999999</v>
      </c>
      <c r="H1161" s="27">
        <v>14458.102999999999</v>
      </c>
      <c r="I1161" s="397">
        <f t="shared" si="493"/>
        <v>98.262863861571191</v>
      </c>
      <c r="J1161" s="413"/>
      <c r="K1161" s="401"/>
      <c r="L1161" s="192"/>
    </row>
    <row r="1162" spans="1:12" ht="31.5" x14ac:dyDescent="0.25">
      <c r="A1162" s="396" t="s">
        <v>131</v>
      </c>
      <c r="B1162" s="390">
        <v>908</v>
      </c>
      <c r="C1162" s="392" t="s">
        <v>234</v>
      </c>
      <c r="D1162" s="392" t="s">
        <v>234</v>
      </c>
      <c r="E1162" s="392" t="s">
        <v>859</v>
      </c>
      <c r="F1162" s="392" t="s">
        <v>132</v>
      </c>
      <c r="G1162" s="397">
        <f>G1163</f>
        <v>23</v>
      </c>
      <c r="H1162" s="397">
        <f t="shared" ref="H1162" si="524">H1163</f>
        <v>22.98</v>
      </c>
      <c r="I1162" s="397">
        <f t="shared" ref="I1162:I1225" si="525">H1162/G1162*100</f>
        <v>99.913043478260875</v>
      </c>
      <c r="J1162" s="413"/>
      <c r="K1162" s="401"/>
      <c r="L1162" s="192"/>
    </row>
    <row r="1163" spans="1:12" ht="36.75" customHeight="1" x14ac:dyDescent="0.25">
      <c r="A1163" s="396" t="s">
        <v>133</v>
      </c>
      <c r="B1163" s="390">
        <v>908</v>
      </c>
      <c r="C1163" s="392" t="s">
        <v>234</v>
      </c>
      <c r="D1163" s="392" t="s">
        <v>234</v>
      </c>
      <c r="E1163" s="392" t="s">
        <v>859</v>
      </c>
      <c r="F1163" s="392" t="s">
        <v>134</v>
      </c>
      <c r="G1163" s="27">
        <f>25-6+4</f>
        <v>23</v>
      </c>
      <c r="H1163" s="27">
        <v>22.98</v>
      </c>
      <c r="I1163" s="397">
        <f t="shared" si="525"/>
        <v>99.913043478260875</v>
      </c>
      <c r="J1163" s="413"/>
      <c r="K1163" s="401"/>
      <c r="L1163" s="192"/>
    </row>
    <row r="1164" spans="1:12" ht="15.75" x14ac:dyDescent="0.25">
      <c r="A1164" s="396" t="s">
        <v>135</v>
      </c>
      <c r="B1164" s="390">
        <v>908</v>
      </c>
      <c r="C1164" s="392" t="s">
        <v>234</v>
      </c>
      <c r="D1164" s="392" t="s">
        <v>234</v>
      </c>
      <c r="E1164" s="392" t="s">
        <v>859</v>
      </c>
      <c r="F1164" s="392" t="s">
        <v>145</v>
      </c>
      <c r="G1164" s="397">
        <f>G1165</f>
        <v>38.299999999999997</v>
      </c>
      <c r="H1164" s="397">
        <f t="shared" ref="H1164" si="526">H1165</f>
        <v>36.845999999999997</v>
      </c>
      <c r="I1164" s="397">
        <f t="shared" si="525"/>
        <v>96.203655352480411</v>
      </c>
      <c r="J1164" s="413"/>
      <c r="K1164" s="401"/>
      <c r="L1164" s="192"/>
    </row>
    <row r="1165" spans="1:12" ht="15.75" x14ac:dyDescent="0.25">
      <c r="A1165" s="396" t="s">
        <v>568</v>
      </c>
      <c r="B1165" s="390">
        <v>908</v>
      </c>
      <c r="C1165" s="392" t="s">
        <v>234</v>
      </c>
      <c r="D1165" s="392" t="s">
        <v>234</v>
      </c>
      <c r="E1165" s="392" t="s">
        <v>859</v>
      </c>
      <c r="F1165" s="392" t="s">
        <v>138</v>
      </c>
      <c r="G1165" s="397">
        <f>47-8.7</f>
        <v>38.299999999999997</v>
      </c>
      <c r="H1165" s="397">
        <v>36.845999999999997</v>
      </c>
      <c r="I1165" s="397">
        <f t="shared" si="525"/>
        <v>96.203655352480411</v>
      </c>
      <c r="J1165" s="413"/>
      <c r="K1165" s="401"/>
      <c r="L1165" s="192"/>
    </row>
    <row r="1166" spans="1:12" s="192" customFormat="1" ht="31.5" x14ac:dyDescent="0.25">
      <c r="A1166" s="396" t="s">
        <v>838</v>
      </c>
      <c r="B1166" s="390">
        <v>908</v>
      </c>
      <c r="C1166" s="392" t="s">
        <v>234</v>
      </c>
      <c r="D1166" s="392" t="s">
        <v>234</v>
      </c>
      <c r="E1166" s="392" t="s">
        <v>861</v>
      </c>
      <c r="F1166" s="392"/>
      <c r="G1166" s="397">
        <f>G1167</f>
        <v>399.2</v>
      </c>
      <c r="H1166" s="397">
        <f t="shared" ref="H1166:H1167" si="527">H1167</f>
        <v>386.9</v>
      </c>
      <c r="I1166" s="397">
        <f t="shared" si="525"/>
        <v>96.918837675350701</v>
      </c>
      <c r="J1166" s="413"/>
      <c r="K1166" s="401"/>
    </row>
    <row r="1167" spans="1:12" s="192" customFormat="1" ht="63" x14ac:dyDescent="0.25">
      <c r="A1167" s="396" t="s">
        <v>127</v>
      </c>
      <c r="B1167" s="390">
        <v>908</v>
      </c>
      <c r="C1167" s="392" t="s">
        <v>234</v>
      </c>
      <c r="D1167" s="392" t="s">
        <v>234</v>
      </c>
      <c r="E1167" s="392" t="s">
        <v>861</v>
      </c>
      <c r="F1167" s="392" t="s">
        <v>128</v>
      </c>
      <c r="G1167" s="397">
        <f>G1168</f>
        <v>399.2</v>
      </c>
      <c r="H1167" s="397">
        <f t="shared" si="527"/>
        <v>386.9</v>
      </c>
      <c r="I1167" s="397">
        <f t="shared" si="525"/>
        <v>96.918837675350701</v>
      </c>
      <c r="J1167" s="413"/>
      <c r="K1167" s="401"/>
    </row>
    <row r="1168" spans="1:12" s="192" customFormat="1" ht="31.5" x14ac:dyDescent="0.25">
      <c r="A1168" s="396" t="s">
        <v>129</v>
      </c>
      <c r="B1168" s="390">
        <v>908</v>
      </c>
      <c r="C1168" s="392" t="s">
        <v>234</v>
      </c>
      <c r="D1168" s="392" t="s">
        <v>234</v>
      </c>
      <c r="E1168" s="392" t="s">
        <v>861</v>
      </c>
      <c r="F1168" s="392" t="s">
        <v>130</v>
      </c>
      <c r="G1168" s="397">
        <f>368+30+1.2</f>
        <v>399.2</v>
      </c>
      <c r="H1168" s="397">
        <v>386.9</v>
      </c>
      <c r="I1168" s="397">
        <f t="shared" si="525"/>
        <v>96.918837675350701</v>
      </c>
      <c r="J1168" s="413"/>
      <c r="K1168" s="401"/>
    </row>
    <row r="1169" spans="1:20" s="192" customFormat="1" ht="31.5" x14ac:dyDescent="0.25">
      <c r="A1169" s="396" t="s">
        <v>1677</v>
      </c>
      <c r="B1169" s="390">
        <v>908</v>
      </c>
      <c r="C1169" s="392" t="s">
        <v>234</v>
      </c>
      <c r="D1169" s="392" t="s">
        <v>234</v>
      </c>
      <c r="E1169" s="392" t="s">
        <v>1678</v>
      </c>
      <c r="F1169" s="392"/>
      <c r="G1169" s="397">
        <f>G1170</f>
        <v>351.94880000000001</v>
      </c>
      <c r="H1169" s="397">
        <f t="shared" ref="H1169:H1170" si="528">H1170</f>
        <v>351.94799999999998</v>
      </c>
      <c r="I1169" s="397">
        <f t="shared" si="525"/>
        <v>99.999772694210051</v>
      </c>
      <c r="J1169" s="413"/>
      <c r="K1169" s="401"/>
    </row>
    <row r="1170" spans="1:20" s="192" customFormat="1" ht="63" x14ac:dyDescent="0.25">
      <c r="A1170" s="396" t="s">
        <v>127</v>
      </c>
      <c r="B1170" s="390">
        <v>908</v>
      </c>
      <c r="C1170" s="392" t="s">
        <v>234</v>
      </c>
      <c r="D1170" s="392" t="s">
        <v>234</v>
      </c>
      <c r="E1170" s="392" t="s">
        <v>1678</v>
      </c>
      <c r="F1170" s="392" t="s">
        <v>128</v>
      </c>
      <c r="G1170" s="397">
        <f>G1171</f>
        <v>351.94880000000001</v>
      </c>
      <c r="H1170" s="397">
        <f t="shared" si="528"/>
        <v>351.94799999999998</v>
      </c>
      <c r="I1170" s="397">
        <f t="shared" si="525"/>
        <v>99.999772694210051</v>
      </c>
      <c r="J1170" s="413"/>
      <c r="K1170" s="401"/>
    </row>
    <row r="1171" spans="1:20" s="192" customFormat="1" ht="31.5" x14ac:dyDescent="0.25">
      <c r="A1171" s="396" t="s">
        <v>129</v>
      </c>
      <c r="B1171" s="390">
        <v>908</v>
      </c>
      <c r="C1171" s="392" t="s">
        <v>234</v>
      </c>
      <c r="D1171" s="392" t="s">
        <v>234</v>
      </c>
      <c r="E1171" s="392" t="s">
        <v>1678</v>
      </c>
      <c r="F1171" s="392" t="s">
        <v>130</v>
      </c>
      <c r="G1171" s="397">
        <v>351.94880000000001</v>
      </c>
      <c r="H1171" s="397">
        <v>351.94799999999998</v>
      </c>
      <c r="I1171" s="397">
        <f t="shared" si="525"/>
        <v>99.999772694210051</v>
      </c>
      <c r="J1171" s="413"/>
      <c r="K1171" s="401"/>
    </row>
    <row r="1172" spans="1:20" ht="15.75" x14ac:dyDescent="0.25">
      <c r="A1172" s="394" t="s">
        <v>141</v>
      </c>
      <c r="B1172" s="391">
        <v>908</v>
      </c>
      <c r="C1172" s="395" t="s">
        <v>234</v>
      </c>
      <c r="D1172" s="395" t="s">
        <v>234</v>
      </c>
      <c r="E1172" s="395" t="s">
        <v>865</v>
      </c>
      <c r="F1172" s="395"/>
      <c r="G1172" s="393">
        <f>G1173+G1188</f>
        <v>34292.755999999994</v>
      </c>
      <c r="H1172" s="393">
        <f t="shared" ref="H1172" si="529">H1173+H1188</f>
        <v>33847.804000000004</v>
      </c>
      <c r="I1172" s="393">
        <f t="shared" si="525"/>
        <v>98.702489820299093</v>
      </c>
      <c r="J1172" s="413"/>
      <c r="K1172" s="401"/>
      <c r="L1172" s="192"/>
    </row>
    <row r="1173" spans="1:20" s="192" customFormat="1" ht="31.5" x14ac:dyDescent="0.25">
      <c r="A1173" s="394" t="s">
        <v>869</v>
      </c>
      <c r="B1173" s="391">
        <v>908</v>
      </c>
      <c r="C1173" s="395" t="s">
        <v>234</v>
      </c>
      <c r="D1173" s="395" t="s">
        <v>234</v>
      </c>
      <c r="E1173" s="395" t="s">
        <v>864</v>
      </c>
      <c r="F1173" s="395"/>
      <c r="G1173" s="393">
        <f>G1174+G1183</f>
        <v>21222.6</v>
      </c>
      <c r="H1173" s="393">
        <f t="shared" ref="H1173" si="530">H1174+H1183</f>
        <v>21090.9</v>
      </c>
      <c r="I1173" s="393">
        <f t="shared" si="525"/>
        <v>99.379435130474135</v>
      </c>
      <c r="J1173" s="413"/>
      <c r="K1173" s="401"/>
    </row>
    <row r="1174" spans="1:20" ht="31.5" x14ac:dyDescent="0.25">
      <c r="A1174" s="396" t="s">
        <v>570</v>
      </c>
      <c r="B1174" s="390">
        <v>908</v>
      </c>
      <c r="C1174" s="392" t="s">
        <v>234</v>
      </c>
      <c r="D1174" s="392" t="s">
        <v>234</v>
      </c>
      <c r="E1174" s="392" t="s">
        <v>983</v>
      </c>
      <c r="F1174" s="392"/>
      <c r="G1174" s="27">
        <f>G1177+G1175</f>
        <v>10122.599999999999</v>
      </c>
      <c r="H1174" s="27">
        <f t="shared" ref="H1174" si="531">H1177+H1175</f>
        <v>9990.9</v>
      </c>
      <c r="I1174" s="397">
        <f t="shared" si="525"/>
        <v>98.698950862426656</v>
      </c>
      <c r="J1174" s="413"/>
      <c r="K1174" s="401"/>
      <c r="L1174" s="192"/>
    </row>
    <row r="1175" spans="1:20" s="192" customFormat="1" ht="15" hidden="1" customHeight="1" x14ac:dyDescent="0.25">
      <c r="A1175" s="396" t="s">
        <v>1518</v>
      </c>
      <c r="B1175" s="390">
        <v>908</v>
      </c>
      <c r="C1175" s="392" t="s">
        <v>234</v>
      </c>
      <c r="D1175" s="392" t="s">
        <v>234</v>
      </c>
      <c r="E1175" s="392" t="s">
        <v>983</v>
      </c>
      <c r="F1175" s="392" t="s">
        <v>249</v>
      </c>
      <c r="G1175" s="27">
        <f>G1176</f>
        <v>0</v>
      </c>
      <c r="H1175" s="27">
        <f t="shared" ref="H1175" si="532">H1176</f>
        <v>0</v>
      </c>
      <c r="I1175" s="397" t="e">
        <f t="shared" si="525"/>
        <v>#DIV/0!</v>
      </c>
      <c r="J1175" s="413"/>
      <c r="K1175" s="401"/>
    </row>
    <row r="1176" spans="1:20" s="192" customFormat="1" ht="15" hidden="1" customHeight="1" x14ac:dyDescent="0.25">
      <c r="A1176" s="396" t="s">
        <v>1517</v>
      </c>
      <c r="B1176" s="390">
        <v>908</v>
      </c>
      <c r="C1176" s="392" t="s">
        <v>234</v>
      </c>
      <c r="D1176" s="392" t="s">
        <v>234</v>
      </c>
      <c r="E1176" s="392" t="s">
        <v>983</v>
      </c>
      <c r="F1176" s="392" t="s">
        <v>1519</v>
      </c>
      <c r="G1176" s="27">
        <f>4500-240-240-1748.75-2271.25</f>
        <v>0</v>
      </c>
      <c r="H1176" s="27">
        <f t="shared" ref="H1176" si="533">4500-240-240-1748.75-2271.25</f>
        <v>0</v>
      </c>
      <c r="I1176" s="397" t="e">
        <f t="shared" si="525"/>
        <v>#DIV/0!</v>
      </c>
      <c r="J1176" s="413"/>
      <c r="K1176" s="401"/>
    </row>
    <row r="1177" spans="1:20" ht="15" customHeight="1" x14ac:dyDescent="0.25">
      <c r="A1177" s="396" t="s">
        <v>135</v>
      </c>
      <c r="B1177" s="390">
        <v>908</v>
      </c>
      <c r="C1177" s="392" t="s">
        <v>234</v>
      </c>
      <c r="D1177" s="392" t="s">
        <v>234</v>
      </c>
      <c r="E1177" s="392" t="s">
        <v>983</v>
      </c>
      <c r="F1177" s="392" t="s">
        <v>145</v>
      </c>
      <c r="G1177" s="27">
        <f>G1178+G1179+G1180</f>
        <v>10122.599999999999</v>
      </c>
      <c r="H1177" s="27">
        <f t="shared" ref="H1177" si="534">H1178+H1179+H1180</f>
        <v>9990.9</v>
      </c>
      <c r="I1177" s="397">
        <f t="shared" si="525"/>
        <v>98.698950862426656</v>
      </c>
      <c r="J1177" s="413"/>
      <c r="K1177" s="401"/>
      <c r="L1177" s="192"/>
    </row>
    <row r="1178" spans="1:20" ht="47.25" customHeight="1" x14ac:dyDescent="0.25">
      <c r="A1178" s="396" t="s">
        <v>184</v>
      </c>
      <c r="B1178" s="390">
        <v>908</v>
      </c>
      <c r="C1178" s="392" t="s">
        <v>234</v>
      </c>
      <c r="D1178" s="392" t="s">
        <v>234</v>
      </c>
      <c r="E1178" s="392" t="s">
        <v>983</v>
      </c>
      <c r="F1178" s="392" t="s">
        <v>160</v>
      </c>
      <c r="G1178" s="27">
        <f>982</f>
        <v>982</v>
      </c>
      <c r="H1178" s="27">
        <v>980.14099999999996</v>
      </c>
      <c r="I1178" s="397">
        <f t="shared" si="525"/>
        <v>99.810692464358453</v>
      </c>
      <c r="J1178" s="413"/>
      <c r="K1178" s="401"/>
      <c r="L1178" s="192"/>
    </row>
    <row r="1179" spans="1:20" s="192" customFormat="1" ht="15.75" x14ac:dyDescent="0.25">
      <c r="A1179" s="396" t="s">
        <v>704</v>
      </c>
      <c r="B1179" s="390">
        <v>908</v>
      </c>
      <c r="C1179" s="392" t="s">
        <v>234</v>
      </c>
      <c r="D1179" s="392" t="s">
        <v>234</v>
      </c>
      <c r="E1179" s="392" t="s">
        <v>983</v>
      </c>
      <c r="F1179" s="392" t="s">
        <v>138</v>
      </c>
      <c r="G1179" s="27">
        <f>240-105+1748.75+2271.25+240+5000-881.2-700+3300-1930.5-42.7</f>
        <v>9140.5999999999985</v>
      </c>
      <c r="H1179" s="27">
        <v>9010.759</v>
      </c>
      <c r="I1179" s="397">
        <f t="shared" si="525"/>
        <v>98.579513379865674</v>
      </c>
      <c r="J1179" s="421"/>
      <c r="K1179" s="401"/>
      <c r="L1179" s="424"/>
      <c r="O1179" s="424"/>
      <c r="R1179" s="424"/>
      <c r="T1179" s="424"/>
    </row>
    <row r="1180" spans="1:20" s="192" customFormat="1" ht="15.75" hidden="1" x14ac:dyDescent="0.25">
      <c r="A1180" s="396" t="s">
        <v>1576</v>
      </c>
      <c r="B1180" s="390">
        <v>908</v>
      </c>
      <c r="C1180" s="392" t="s">
        <v>234</v>
      </c>
      <c r="D1180" s="392" t="s">
        <v>234</v>
      </c>
      <c r="E1180" s="392" t="s">
        <v>983</v>
      </c>
      <c r="F1180" s="392" t="s">
        <v>1577</v>
      </c>
      <c r="G1180" s="27">
        <f>240-240</f>
        <v>0</v>
      </c>
      <c r="H1180" s="27">
        <f t="shared" ref="H1180" si="535">240-240</f>
        <v>0</v>
      </c>
      <c r="I1180" s="397" t="e">
        <f t="shared" si="525"/>
        <v>#DIV/0!</v>
      </c>
      <c r="J1180" s="413"/>
      <c r="K1180" s="401"/>
    </row>
    <row r="1181" spans="1:20" s="192" customFormat="1" ht="15.75" hidden="1" x14ac:dyDescent="0.25">
      <c r="A1181" s="396"/>
      <c r="B1181" s="390"/>
      <c r="C1181" s="392"/>
      <c r="D1181" s="392"/>
      <c r="E1181" s="392"/>
      <c r="F1181" s="392"/>
      <c r="G1181" s="27"/>
      <c r="H1181" s="27"/>
      <c r="I1181" s="397" t="e">
        <f t="shared" si="525"/>
        <v>#DIV/0!</v>
      </c>
      <c r="J1181" s="413"/>
      <c r="K1181" s="401"/>
    </row>
    <row r="1182" spans="1:20" s="192" customFormat="1" ht="15.75" hidden="1" x14ac:dyDescent="0.25">
      <c r="A1182" s="396"/>
      <c r="B1182" s="390"/>
      <c r="C1182" s="392"/>
      <c r="D1182" s="392"/>
      <c r="E1182" s="392"/>
      <c r="F1182" s="392"/>
      <c r="G1182" s="27"/>
      <c r="H1182" s="27"/>
      <c r="I1182" s="397" t="e">
        <f t="shared" si="525"/>
        <v>#DIV/0!</v>
      </c>
      <c r="J1182" s="413"/>
      <c r="K1182" s="401"/>
    </row>
    <row r="1183" spans="1:20" s="192" customFormat="1" ht="37.5" customHeight="1" x14ac:dyDescent="0.25">
      <c r="A1183" s="396" t="s">
        <v>1591</v>
      </c>
      <c r="B1183" s="390">
        <v>908</v>
      </c>
      <c r="C1183" s="392" t="s">
        <v>234</v>
      </c>
      <c r="D1183" s="392" t="s">
        <v>234</v>
      </c>
      <c r="E1183" s="392" t="s">
        <v>1592</v>
      </c>
      <c r="F1183" s="392"/>
      <c r="G1183" s="27">
        <f>G1184+G1186</f>
        <v>11100</v>
      </c>
      <c r="H1183" s="27">
        <f t="shared" ref="H1183" si="536">H1184+H1186</f>
        <v>11100</v>
      </c>
      <c r="I1183" s="397">
        <f t="shared" si="525"/>
        <v>100</v>
      </c>
      <c r="J1183" s="413"/>
      <c r="K1183" s="401"/>
    </row>
    <row r="1184" spans="1:20" s="192" customFormat="1" ht="21.75" customHeight="1" x14ac:dyDescent="0.25">
      <c r="A1184" s="396" t="s">
        <v>1593</v>
      </c>
      <c r="B1184" s="390">
        <v>908</v>
      </c>
      <c r="C1184" s="392" t="s">
        <v>234</v>
      </c>
      <c r="D1184" s="392" t="s">
        <v>234</v>
      </c>
      <c r="E1184" s="392" t="s">
        <v>1592</v>
      </c>
      <c r="F1184" s="392" t="s">
        <v>836</v>
      </c>
      <c r="G1184" s="27">
        <f>G1185</f>
        <v>100</v>
      </c>
      <c r="H1184" s="27">
        <f t="shared" ref="H1184" si="537">H1185</f>
        <v>100</v>
      </c>
      <c r="I1184" s="397">
        <f t="shared" si="525"/>
        <v>100</v>
      </c>
      <c r="J1184" s="413"/>
      <c r="K1184" s="401"/>
    </row>
    <row r="1185" spans="1:12" s="192" customFormat="1" ht="35.25" customHeight="1" x14ac:dyDescent="0.25">
      <c r="A1185" s="396" t="s">
        <v>837</v>
      </c>
      <c r="B1185" s="390">
        <v>908</v>
      </c>
      <c r="C1185" s="392" t="s">
        <v>234</v>
      </c>
      <c r="D1185" s="392" t="s">
        <v>234</v>
      </c>
      <c r="E1185" s="392" t="s">
        <v>1592</v>
      </c>
      <c r="F1185" s="392" t="s">
        <v>1594</v>
      </c>
      <c r="G1185" s="27">
        <f>9100-9000</f>
        <v>100</v>
      </c>
      <c r="H1185" s="27">
        <v>100</v>
      </c>
      <c r="I1185" s="397">
        <f t="shared" si="525"/>
        <v>100</v>
      </c>
      <c r="J1185" s="413"/>
      <c r="K1185" s="401"/>
    </row>
    <row r="1186" spans="1:12" s="192" customFormat="1" ht="21.75" customHeight="1" x14ac:dyDescent="0.25">
      <c r="A1186" s="396" t="s">
        <v>135</v>
      </c>
      <c r="B1186" s="390">
        <v>908</v>
      </c>
      <c r="C1186" s="392" t="s">
        <v>234</v>
      </c>
      <c r="D1186" s="392" t="s">
        <v>234</v>
      </c>
      <c r="E1186" s="392" t="s">
        <v>1592</v>
      </c>
      <c r="F1186" s="392" t="s">
        <v>145</v>
      </c>
      <c r="G1186" s="27">
        <f>G1187</f>
        <v>11000</v>
      </c>
      <c r="H1186" s="27">
        <f t="shared" ref="H1186" si="538">H1187</f>
        <v>11000</v>
      </c>
      <c r="I1186" s="397">
        <f t="shared" si="525"/>
        <v>100</v>
      </c>
      <c r="J1186" s="413"/>
      <c r="K1186" s="401"/>
    </row>
    <row r="1187" spans="1:12" s="192" customFormat="1" ht="39.75" customHeight="1" x14ac:dyDescent="0.25">
      <c r="A1187" s="396" t="s">
        <v>184</v>
      </c>
      <c r="B1187" s="390">
        <v>908</v>
      </c>
      <c r="C1187" s="392" t="s">
        <v>234</v>
      </c>
      <c r="D1187" s="392" t="s">
        <v>234</v>
      </c>
      <c r="E1187" s="392" t="s">
        <v>1592</v>
      </c>
      <c r="F1187" s="392" t="s">
        <v>160</v>
      </c>
      <c r="G1187" s="27">
        <f>9000+1803.2+196.8</f>
        <v>11000</v>
      </c>
      <c r="H1187" s="27">
        <v>11000</v>
      </c>
      <c r="I1187" s="397">
        <f t="shared" si="525"/>
        <v>100</v>
      </c>
      <c r="J1187" s="413"/>
      <c r="K1187" s="401"/>
    </row>
    <row r="1188" spans="1:12" s="192" customFormat="1" ht="32.65" customHeight="1" x14ac:dyDescent="0.25">
      <c r="A1188" s="394" t="s">
        <v>928</v>
      </c>
      <c r="B1188" s="391">
        <v>908</v>
      </c>
      <c r="C1188" s="395" t="s">
        <v>234</v>
      </c>
      <c r="D1188" s="395" t="s">
        <v>234</v>
      </c>
      <c r="E1188" s="395" t="s">
        <v>913</v>
      </c>
      <c r="F1188" s="395"/>
      <c r="G1188" s="44">
        <f>G1189+G1194+G1202</f>
        <v>13070.155999999999</v>
      </c>
      <c r="H1188" s="44">
        <f t="shared" ref="H1188" si="539">H1189+H1194+H1202</f>
        <v>12756.904</v>
      </c>
      <c r="I1188" s="393">
        <f t="shared" si="525"/>
        <v>97.603303281154425</v>
      </c>
      <c r="J1188" s="413"/>
      <c r="K1188" s="401"/>
    </row>
    <row r="1189" spans="1:12" ht="31.5" x14ac:dyDescent="0.25">
      <c r="A1189" s="396" t="s">
        <v>902</v>
      </c>
      <c r="B1189" s="390">
        <v>908</v>
      </c>
      <c r="C1189" s="392" t="s">
        <v>234</v>
      </c>
      <c r="D1189" s="392" t="s">
        <v>234</v>
      </c>
      <c r="E1189" s="392" t="s">
        <v>914</v>
      </c>
      <c r="F1189" s="392"/>
      <c r="G1189" s="397">
        <f>G1190+G1192</f>
        <v>12487.099999999999</v>
      </c>
      <c r="H1189" s="397">
        <f t="shared" ref="H1189" si="540">H1190+H1192</f>
        <v>12176.096</v>
      </c>
      <c r="I1189" s="397">
        <f t="shared" si="525"/>
        <v>97.509397698424777</v>
      </c>
      <c r="J1189" s="413"/>
      <c r="K1189" s="401"/>
      <c r="L1189" s="192"/>
    </row>
    <row r="1190" spans="1:12" ht="65.25" customHeight="1" x14ac:dyDescent="0.25">
      <c r="A1190" s="396" t="s">
        <v>127</v>
      </c>
      <c r="B1190" s="390">
        <v>908</v>
      </c>
      <c r="C1190" s="392" t="s">
        <v>234</v>
      </c>
      <c r="D1190" s="392" t="s">
        <v>234</v>
      </c>
      <c r="E1190" s="392" t="s">
        <v>914</v>
      </c>
      <c r="F1190" s="392" t="s">
        <v>128</v>
      </c>
      <c r="G1190" s="397">
        <f>G1191</f>
        <v>10079.799999999999</v>
      </c>
      <c r="H1190" s="397">
        <f t="shared" ref="H1190" si="541">H1191</f>
        <v>9873.0769999999993</v>
      </c>
      <c r="I1190" s="397">
        <f t="shared" si="525"/>
        <v>97.949135895553482</v>
      </c>
      <c r="J1190" s="413"/>
      <c r="K1190" s="401"/>
      <c r="L1190" s="192"/>
    </row>
    <row r="1191" spans="1:12" ht="19.5" customHeight="1" x14ac:dyDescent="0.25">
      <c r="A1191" s="396" t="s">
        <v>342</v>
      </c>
      <c r="B1191" s="390">
        <v>908</v>
      </c>
      <c r="C1191" s="392" t="s">
        <v>234</v>
      </c>
      <c r="D1191" s="392" t="s">
        <v>234</v>
      </c>
      <c r="E1191" s="392" t="s">
        <v>914</v>
      </c>
      <c r="F1191" s="392" t="s">
        <v>209</v>
      </c>
      <c r="G1191" s="27">
        <f>9193-1342.4+300+4.2+730+1140+55</f>
        <v>10079.799999999999</v>
      </c>
      <c r="H1191" s="27">
        <v>9873.0769999999993</v>
      </c>
      <c r="I1191" s="397">
        <f t="shared" si="525"/>
        <v>97.949135895553482</v>
      </c>
      <c r="J1191" s="413"/>
      <c r="K1191" s="401"/>
      <c r="L1191" s="192"/>
    </row>
    <row r="1192" spans="1:12" ht="31.5" x14ac:dyDescent="0.25">
      <c r="A1192" s="396" t="s">
        <v>131</v>
      </c>
      <c r="B1192" s="390">
        <v>908</v>
      </c>
      <c r="C1192" s="392" t="s">
        <v>234</v>
      </c>
      <c r="D1192" s="392" t="s">
        <v>234</v>
      </c>
      <c r="E1192" s="392" t="s">
        <v>914</v>
      </c>
      <c r="F1192" s="392" t="s">
        <v>132</v>
      </c>
      <c r="G1192" s="397">
        <f>G1193</f>
        <v>2407.3000000000002</v>
      </c>
      <c r="H1192" s="397">
        <f t="shared" ref="H1192" si="542">H1193</f>
        <v>2303.0189999999998</v>
      </c>
      <c r="I1192" s="397">
        <f t="shared" si="525"/>
        <v>95.668134424458913</v>
      </c>
      <c r="J1192" s="413"/>
      <c r="K1192" s="401"/>
      <c r="L1192" s="192"/>
    </row>
    <row r="1193" spans="1:12" ht="31.5" x14ac:dyDescent="0.25">
      <c r="A1193" s="396" t="s">
        <v>133</v>
      </c>
      <c r="B1193" s="390">
        <v>908</v>
      </c>
      <c r="C1193" s="392" t="s">
        <v>234</v>
      </c>
      <c r="D1193" s="392" t="s">
        <v>234</v>
      </c>
      <c r="E1193" s="392" t="s">
        <v>914</v>
      </c>
      <c r="F1193" s="392" t="s">
        <v>134</v>
      </c>
      <c r="G1193" s="27">
        <f>1592.9+59.3+209.2+6+130+40+13.5+315.5+8+20.6+12.3</f>
        <v>2407.3000000000002</v>
      </c>
      <c r="H1193" s="27">
        <v>2303.0189999999998</v>
      </c>
      <c r="I1193" s="397">
        <f t="shared" si="525"/>
        <v>95.668134424458913</v>
      </c>
      <c r="J1193" s="413"/>
      <c r="K1193" s="401"/>
      <c r="L1193" s="192"/>
    </row>
    <row r="1194" spans="1:12" s="192" customFormat="1" ht="31.5" x14ac:dyDescent="0.25">
      <c r="A1194" s="396" t="s">
        <v>838</v>
      </c>
      <c r="B1194" s="390">
        <v>908</v>
      </c>
      <c r="C1194" s="392" t="s">
        <v>234</v>
      </c>
      <c r="D1194" s="392" t="s">
        <v>234</v>
      </c>
      <c r="E1194" s="392" t="s">
        <v>915</v>
      </c>
      <c r="F1194" s="392"/>
      <c r="G1194" s="397">
        <f>G1195</f>
        <v>350</v>
      </c>
      <c r="H1194" s="397">
        <f t="shared" ref="H1194:H1195" si="543">H1195</f>
        <v>347.75200000000001</v>
      </c>
      <c r="I1194" s="397">
        <f t="shared" si="525"/>
        <v>99.357714285714295</v>
      </c>
      <c r="J1194" s="413"/>
      <c r="K1194" s="401"/>
    </row>
    <row r="1195" spans="1:12" s="192" customFormat="1" ht="63" x14ac:dyDescent="0.25">
      <c r="A1195" s="396" t="s">
        <v>127</v>
      </c>
      <c r="B1195" s="390">
        <v>908</v>
      </c>
      <c r="C1195" s="392" t="s">
        <v>234</v>
      </c>
      <c r="D1195" s="392" t="s">
        <v>234</v>
      </c>
      <c r="E1195" s="392" t="s">
        <v>915</v>
      </c>
      <c r="F1195" s="392" t="s">
        <v>128</v>
      </c>
      <c r="G1195" s="397">
        <f>G1196</f>
        <v>350</v>
      </c>
      <c r="H1195" s="397">
        <f t="shared" si="543"/>
        <v>347.75200000000001</v>
      </c>
      <c r="I1195" s="397">
        <f t="shared" si="525"/>
        <v>99.357714285714295</v>
      </c>
      <c r="J1195" s="413"/>
      <c r="K1195" s="401"/>
    </row>
    <row r="1196" spans="1:12" s="192" customFormat="1" ht="15.75" x14ac:dyDescent="0.25">
      <c r="A1196" s="396" t="s">
        <v>342</v>
      </c>
      <c r="B1196" s="390">
        <v>908</v>
      </c>
      <c r="C1196" s="392" t="s">
        <v>234</v>
      </c>
      <c r="D1196" s="392" t="s">
        <v>234</v>
      </c>
      <c r="E1196" s="392" t="s">
        <v>915</v>
      </c>
      <c r="F1196" s="392" t="s">
        <v>209</v>
      </c>
      <c r="G1196" s="397">
        <f>598-141-102.8-4.2</f>
        <v>350</v>
      </c>
      <c r="H1196" s="397">
        <v>347.75200000000001</v>
      </c>
      <c r="I1196" s="397">
        <f t="shared" si="525"/>
        <v>99.357714285714295</v>
      </c>
      <c r="J1196" s="413"/>
      <c r="K1196" s="401"/>
    </row>
    <row r="1197" spans="1:12" s="192" customFormat="1" ht="47.25" hidden="1" x14ac:dyDescent="0.25">
      <c r="A1197" s="34" t="s">
        <v>1356</v>
      </c>
      <c r="B1197" s="391">
        <v>908</v>
      </c>
      <c r="C1197" s="395" t="s">
        <v>234</v>
      </c>
      <c r="D1197" s="395" t="s">
        <v>234</v>
      </c>
      <c r="E1197" s="395" t="s">
        <v>324</v>
      </c>
      <c r="F1197" s="395"/>
      <c r="G1197" s="393">
        <f>G1198</f>
        <v>0</v>
      </c>
      <c r="H1197" s="393">
        <f t="shared" ref="H1197:H1200" si="544">H1198</f>
        <v>0</v>
      </c>
      <c r="I1197" s="397" t="e">
        <f t="shared" si="525"/>
        <v>#DIV/0!</v>
      </c>
      <c r="J1197" s="413"/>
      <c r="K1197" s="401"/>
    </row>
    <row r="1198" spans="1:12" s="192" customFormat="1" ht="47.25" hidden="1" x14ac:dyDescent="0.25">
      <c r="A1198" s="34" t="s">
        <v>1008</v>
      </c>
      <c r="B1198" s="391">
        <v>908</v>
      </c>
      <c r="C1198" s="395" t="s">
        <v>234</v>
      </c>
      <c r="D1198" s="395" t="s">
        <v>234</v>
      </c>
      <c r="E1198" s="395" t="s">
        <v>933</v>
      </c>
      <c r="F1198" s="395"/>
      <c r="G1198" s="393">
        <f>G1199</f>
        <v>0</v>
      </c>
      <c r="H1198" s="393">
        <f t="shared" si="544"/>
        <v>0</v>
      </c>
      <c r="I1198" s="397" t="e">
        <f t="shared" si="525"/>
        <v>#DIV/0!</v>
      </c>
      <c r="J1198" s="413"/>
      <c r="K1198" s="401"/>
    </row>
    <row r="1199" spans="1:12" s="192" customFormat="1" ht="47.25" hidden="1" x14ac:dyDescent="0.25">
      <c r="A1199" s="31" t="s">
        <v>1081</v>
      </c>
      <c r="B1199" s="390">
        <v>908</v>
      </c>
      <c r="C1199" s="392" t="s">
        <v>234</v>
      </c>
      <c r="D1199" s="392" t="s">
        <v>234</v>
      </c>
      <c r="E1199" s="392" t="s">
        <v>1025</v>
      </c>
      <c r="F1199" s="392"/>
      <c r="G1199" s="397">
        <f>G1200</f>
        <v>0</v>
      </c>
      <c r="H1199" s="397">
        <f t="shared" si="544"/>
        <v>0</v>
      </c>
      <c r="I1199" s="397" t="e">
        <f t="shared" si="525"/>
        <v>#DIV/0!</v>
      </c>
      <c r="J1199" s="413"/>
      <c r="K1199" s="401"/>
    </row>
    <row r="1200" spans="1:12" s="192" customFormat="1" ht="31.5" hidden="1" x14ac:dyDescent="0.25">
      <c r="A1200" s="396" t="s">
        <v>131</v>
      </c>
      <c r="B1200" s="390">
        <v>908</v>
      </c>
      <c r="C1200" s="392" t="s">
        <v>234</v>
      </c>
      <c r="D1200" s="392" t="s">
        <v>234</v>
      </c>
      <c r="E1200" s="392" t="s">
        <v>1025</v>
      </c>
      <c r="F1200" s="392" t="s">
        <v>132</v>
      </c>
      <c r="G1200" s="397">
        <f>G1201</f>
        <v>0</v>
      </c>
      <c r="H1200" s="397">
        <f t="shared" si="544"/>
        <v>0</v>
      </c>
      <c r="I1200" s="397" t="e">
        <f t="shared" si="525"/>
        <v>#DIV/0!</v>
      </c>
      <c r="J1200" s="413"/>
      <c r="K1200" s="401"/>
    </row>
    <row r="1201" spans="1:12" s="192" customFormat="1" ht="31.5" hidden="1" x14ac:dyDescent="0.25">
      <c r="A1201" s="396" t="s">
        <v>133</v>
      </c>
      <c r="B1201" s="390">
        <v>908</v>
      </c>
      <c r="C1201" s="392" t="s">
        <v>234</v>
      </c>
      <c r="D1201" s="392" t="s">
        <v>234</v>
      </c>
      <c r="E1201" s="392" t="s">
        <v>1025</v>
      </c>
      <c r="F1201" s="392" t="s">
        <v>134</v>
      </c>
      <c r="G1201" s="397">
        <v>0</v>
      </c>
      <c r="H1201" s="397">
        <v>0</v>
      </c>
      <c r="I1201" s="397" t="e">
        <f t="shared" si="525"/>
        <v>#DIV/0!</v>
      </c>
      <c r="J1201" s="413"/>
      <c r="K1201" s="401"/>
    </row>
    <row r="1202" spans="1:12" s="192" customFormat="1" ht="31.5" x14ac:dyDescent="0.25">
      <c r="A1202" s="396" t="s">
        <v>1677</v>
      </c>
      <c r="B1202" s="390">
        <v>908</v>
      </c>
      <c r="C1202" s="392" t="s">
        <v>234</v>
      </c>
      <c r="D1202" s="392" t="s">
        <v>234</v>
      </c>
      <c r="E1202" s="392" t="s">
        <v>1681</v>
      </c>
      <c r="F1202" s="392"/>
      <c r="G1202" s="397">
        <f>G1203</f>
        <v>233.05600000000001</v>
      </c>
      <c r="H1202" s="397">
        <f t="shared" ref="H1202:H1203" si="545">H1203</f>
        <v>233.05600000000001</v>
      </c>
      <c r="I1202" s="397">
        <f t="shared" si="525"/>
        <v>100</v>
      </c>
      <c r="J1202" s="413"/>
      <c r="K1202" s="401"/>
    </row>
    <row r="1203" spans="1:12" s="192" customFormat="1" ht="63" x14ac:dyDescent="0.25">
      <c r="A1203" s="396" t="s">
        <v>127</v>
      </c>
      <c r="B1203" s="390">
        <v>908</v>
      </c>
      <c r="C1203" s="392" t="s">
        <v>234</v>
      </c>
      <c r="D1203" s="392" t="s">
        <v>234</v>
      </c>
      <c r="E1203" s="392" t="s">
        <v>1681</v>
      </c>
      <c r="F1203" s="392" t="s">
        <v>128</v>
      </c>
      <c r="G1203" s="397">
        <f>G1204</f>
        <v>233.05600000000001</v>
      </c>
      <c r="H1203" s="397">
        <f t="shared" si="545"/>
        <v>233.05600000000001</v>
      </c>
      <c r="I1203" s="397">
        <f t="shared" si="525"/>
        <v>100</v>
      </c>
      <c r="J1203" s="413"/>
      <c r="K1203" s="401"/>
    </row>
    <row r="1204" spans="1:12" s="192" customFormat="1" ht="15.75" x14ac:dyDescent="0.25">
      <c r="A1204" s="396" t="s">
        <v>342</v>
      </c>
      <c r="B1204" s="390">
        <v>908</v>
      </c>
      <c r="C1204" s="392" t="s">
        <v>234</v>
      </c>
      <c r="D1204" s="392" t="s">
        <v>234</v>
      </c>
      <c r="E1204" s="392" t="s">
        <v>1681</v>
      </c>
      <c r="F1204" s="392" t="s">
        <v>209</v>
      </c>
      <c r="G1204" s="397">
        <v>233.05600000000001</v>
      </c>
      <c r="H1204" s="397">
        <v>233.05600000000001</v>
      </c>
      <c r="I1204" s="397">
        <f t="shared" si="525"/>
        <v>100</v>
      </c>
      <c r="J1204" s="413"/>
      <c r="K1204" s="401"/>
    </row>
    <row r="1205" spans="1:12" ht="15.75" hidden="1" x14ac:dyDescent="0.25">
      <c r="A1205" s="394" t="s">
        <v>243</v>
      </c>
      <c r="B1205" s="391">
        <v>908</v>
      </c>
      <c r="C1205" s="395" t="s">
        <v>244</v>
      </c>
      <c r="D1205" s="395"/>
      <c r="E1205" s="395"/>
      <c r="F1205" s="395"/>
      <c r="G1205" s="393">
        <f t="shared" ref="G1205:H1211" si="546">G1206</f>
        <v>0</v>
      </c>
      <c r="H1205" s="393">
        <f t="shared" si="546"/>
        <v>0</v>
      </c>
      <c r="I1205" s="397" t="e">
        <f t="shared" si="525"/>
        <v>#DIV/0!</v>
      </c>
      <c r="J1205" s="413"/>
      <c r="K1205" s="401"/>
      <c r="L1205" s="192"/>
    </row>
    <row r="1206" spans="1:12" ht="15.75" hidden="1" x14ac:dyDescent="0.25">
      <c r="A1206" s="394" t="s">
        <v>258</v>
      </c>
      <c r="B1206" s="391">
        <v>908</v>
      </c>
      <c r="C1206" s="395" t="s">
        <v>244</v>
      </c>
      <c r="D1206" s="395" t="s">
        <v>120</v>
      </c>
      <c r="E1206" s="395"/>
      <c r="F1206" s="395"/>
      <c r="G1206" s="393">
        <f t="shared" si="546"/>
        <v>0</v>
      </c>
      <c r="H1206" s="393">
        <f t="shared" si="546"/>
        <v>0</v>
      </c>
      <c r="I1206" s="397" t="e">
        <f t="shared" si="525"/>
        <v>#DIV/0!</v>
      </c>
      <c r="J1206" s="413"/>
      <c r="K1206" s="401"/>
      <c r="L1206" s="192"/>
    </row>
    <row r="1207" spans="1:12" ht="15.75" hidden="1" x14ac:dyDescent="0.25">
      <c r="A1207" s="394" t="s">
        <v>141</v>
      </c>
      <c r="B1207" s="391">
        <v>908</v>
      </c>
      <c r="C1207" s="395" t="s">
        <v>244</v>
      </c>
      <c r="D1207" s="395" t="s">
        <v>120</v>
      </c>
      <c r="E1207" s="395" t="s">
        <v>865</v>
      </c>
      <c r="F1207" s="395"/>
      <c r="G1207" s="393">
        <f>G1208</f>
        <v>0</v>
      </c>
      <c r="H1207" s="393">
        <f t="shared" si="546"/>
        <v>0</v>
      </c>
      <c r="I1207" s="397" t="e">
        <f t="shared" si="525"/>
        <v>#DIV/0!</v>
      </c>
      <c r="J1207" s="413"/>
      <c r="K1207" s="401"/>
      <c r="L1207" s="192"/>
    </row>
    <row r="1208" spans="1:12" ht="15.75" hidden="1" x14ac:dyDescent="0.25">
      <c r="A1208" s="394" t="s">
        <v>141</v>
      </c>
      <c r="B1208" s="391">
        <v>908</v>
      </c>
      <c r="C1208" s="395" t="s">
        <v>244</v>
      </c>
      <c r="D1208" s="395" t="s">
        <v>120</v>
      </c>
      <c r="E1208" s="395" t="s">
        <v>864</v>
      </c>
      <c r="F1208" s="395"/>
      <c r="G1208" s="393">
        <f>G1209</f>
        <v>0</v>
      </c>
      <c r="H1208" s="393">
        <f t="shared" si="546"/>
        <v>0</v>
      </c>
      <c r="I1208" s="397" t="e">
        <f t="shared" si="525"/>
        <v>#DIV/0!</v>
      </c>
      <c r="J1208" s="413"/>
      <c r="K1208" s="401"/>
      <c r="L1208" s="192"/>
    </row>
    <row r="1209" spans="1:12" ht="31.5" hidden="1" x14ac:dyDescent="0.25">
      <c r="A1209" s="394" t="s">
        <v>869</v>
      </c>
      <c r="B1209" s="391">
        <v>908</v>
      </c>
      <c r="C1209" s="395" t="s">
        <v>244</v>
      </c>
      <c r="D1209" s="395" t="s">
        <v>120</v>
      </c>
      <c r="E1209" s="395" t="s">
        <v>864</v>
      </c>
      <c r="F1209" s="395"/>
      <c r="G1209" s="393">
        <f>G1210</f>
        <v>0</v>
      </c>
      <c r="H1209" s="393">
        <f t="shared" si="546"/>
        <v>0</v>
      </c>
      <c r="I1209" s="397" t="e">
        <f t="shared" si="525"/>
        <v>#DIV/0!</v>
      </c>
      <c r="J1209" s="413"/>
      <c r="K1209" s="401"/>
      <c r="L1209" s="192"/>
    </row>
    <row r="1210" spans="1:12" ht="15.75" hidden="1" x14ac:dyDescent="0.25">
      <c r="A1210" s="396" t="s">
        <v>572</v>
      </c>
      <c r="B1210" s="390">
        <v>908</v>
      </c>
      <c r="C1210" s="392" t="s">
        <v>244</v>
      </c>
      <c r="D1210" s="392" t="s">
        <v>120</v>
      </c>
      <c r="E1210" s="392" t="s">
        <v>984</v>
      </c>
      <c r="F1210" s="392"/>
      <c r="G1210" s="397">
        <f>G1211</f>
        <v>0</v>
      </c>
      <c r="H1210" s="397">
        <f t="shared" si="546"/>
        <v>0</v>
      </c>
      <c r="I1210" s="397" t="e">
        <f t="shared" si="525"/>
        <v>#DIV/0!</v>
      </c>
      <c r="J1210" s="413"/>
      <c r="K1210" s="401"/>
      <c r="L1210" s="192"/>
    </row>
    <row r="1211" spans="1:12" ht="31.5" hidden="1" x14ac:dyDescent="0.25">
      <c r="A1211" s="396" t="s">
        <v>131</v>
      </c>
      <c r="B1211" s="390">
        <v>908</v>
      </c>
      <c r="C1211" s="392" t="s">
        <v>244</v>
      </c>
      <c r="D1211" s="392" t="s">
        <v>120</v>
      </c>
      <c r="E1211" s="392" t="s">
        <v>984</v>
      </c>
      <c r="F1211" s="392" t="s">
        <v>132</v>
      </c>
      <c r="G1211" s="397">
        <f>G1212</f>
        <v>0</v>
      </c>
      <c r="H1211" s="397">
        <f t="shared" si="546"/>
        <v>0</v>
      </c>
      <c r="I1211" s="397" t="e">
        <f t="shared" si="525"/>
        <v>#DIV/0!</v>
      </c>
      <c r="J1211" s="413"/>
      <c r="K1211" s="401"/>
      <c r="L1211" s="192"/>
    </row>
    <row r="1212" spans="1:12" ht="31.5" hidden="1" x14ac:dyDescent="0.25">
      <c r="A1212" s="396" t="s">
        <v>133</v>
      </c>
      <c r="B1212" s="390">
        <v>908</v>
      </c>
      <c r="C1212" s="392" t="s">
        <v>244</v>
      </c>
      <c r="D1212" s="392" t="s">
        <v>120</v>
      </c>
      <c r="E1212" s="392" t="s">
        <v>984</v>
      </c>
      <c r="F1212" s="392" t="s">
        <v>134</v>
      </c>
      <c r="G1212" s="397">
        <f>87-16-10-61</f>
        <v>0</v>
      </c>
      <c r="H1212" s="397">
        <f t="shared" ref="H1212" si="547">87-16-10-61</f>
        <v>0</v>
      </c>
      <c r="I1212" s="397" t="e">
        <f t="shared" si="525"/>
        <v>#DIV/0!</v>
      </c>
      <c r="J1212" s="413"/>
      <c r="K1212" s="401"/>
      <c r="L1212" s="192"/>
    </row>
    <row r="1213" spans="1:12" ht="33.950000000000003" customHeight="1" x14ac:dyDescent="0.25">
      <c r="A1213" s="391" t="s">
        <v>574</v>
      </c>
      <c r="B1213" s="391">
        <v>910</v>
      </c>
      <c r="C1213" s="47"/>
      <c r="D1213" s="47"/>
      <c r="E1213" s="47"/>
      <c r="F1213" s="47"/>
      <c r="G1213" s="393">
        <f>G1214</f>
        <v>7902.2337000000007</v>
      </c>
      <c r="H1213" s="393">
        <f t="shared" ref="H1213" si="548">H1214</f>
        <v>7832.7309999999998</v>
      </c>
      <c r="I1213" s="393">
        <f t="shared" si="525"/>
        <v>99.120467672324082</v>
      </c>
      <c r="J1213" s="413"/>
      <c r="K1213" s="401"/>
      <c r="L1213" s="192"/>
    </row>
    <row r="1214" spans="1:12" ht="15.75" x14ac:dyDescent="0.25">
      <c r="A1214" s="394" t="s">
        <v>117</v>
      </c>
      <c r="B1214" s="391">
        <v>910</v>
      </c>
      <c r="C1214" s="395" t="s">
        <v>118</v>
      </c>
      <c r="D1214" s="395"/>
      <c r="E1214" s="395"/>
      <c r="F1214" s="395"/>
      <c r="G1214" s="393">
        <f>G1215+G1234</f>
        <v>7902.2337000000007</v>
      </c>
      <c r="H1214" s="393">
        <f t="shared" ref="H1214" si="549">H1215+H1234</f>
        <v>7832.7309999999998</v>
      </c>
      <c r="I1214" s="393">
        <f t="shared" si="525"/>
        <v>99.120467672324082</v>
      </c>
      <c r="J1214" s="413"/>
      <c r="K1214" s="401"/>
      <c r="L1214" s="192"/>
    </row>
    <row r="1215" spans="1:12" ht="47.25" customHeight="1" x14ac:dyDescent="0.25">
      <c r="A1215" s="394" t="s">
        <v>578</v>
      </c>
      <c r="B1215" s="391">
        <v>910</v>
      </c>
      <c r="C1215" s="395" t="s">
        <v>118</v>
      </c>
      <c r="D1215" s="395" t="s">
        <v>215</v>
      </c>
      <c r="E1215" s="395"/>
      <c r="F1215" s="395"/>
      <c r="G1215" s="393">
        <f>G1216</f>
        <v>6460.1337000000003</v>
      </c>
      <c r="H1215" s="393">
        <f t="shared" ref="H1215:H1216" si="550">H1216</f>
        <v>6390.6880000000001</v>
      </c>
      <c r="I1215" s="393">
        <f t="shared" si="525"/>
        <v>98.925011412689486</v>
      </c>
      <c r="J1215" s="413"/>
      <c r="K1215" s="401"/>
      <c r="L1215" s="192"/>
    </row>
    <row r="1216" spans="1:12" ht="31.5" x14ac:dyDescent="0.25">
      <c r="A1216" s="394" t="s">
        <v>916</v>
      </c>
      <c r="B1216" s="391">
        <v>910</v>
      </c>
      <c r="C1216" s="395" t="s">
        <v>118</v>
      </c>
      <c r="D1216" s="395" t="s">
        <v>215</v>
      </c>
      <c r="E1216" s="395" t="s">
        <v>857</v>
      </c>
      <c r="F1216" s="395"/>
      <c r="G1216" s="393">
        <f>G1217</f>
        <v>6460.1337000000003</v>
      </c>
      <c r="H1216" s="393">
        <f t="shared" si="550"/>
        <v>6390.6880000000001</v>
      </c>
      <c r="I1216" s="393">
        <f t="shared" si="525"/>
        <v>98.925011412689486</v>
      </c>
      <c r="J1216" s="413"/>
      <c r="K1216" s="401"/>
      <c r="L1216" s="192"/>
    </row>
    <row r="1217" spans="1:12" ht="15.75" x14ac:dyDescent="0.25">
      <c r="A1217" s="394" t="s">
        <v>985</v>
      </c>
      <c r="B1217" s="391">
        <v>910</v>
      </c>
      <c r="C1217" s="395" t="s">
        <v>118</v>
      </c>
      <c r="D1217" s="395" t="s">
        <v>215</v>
      </c>
      <c r="E1217" s="395" t="s">
        <v>986</v>
      </c>
      <c r="F1217" s="395"/>
      <c r="G1217" s="393">
        <f>G1223+G1228+G1218+G1231</f>
        <v>6460.1337000000003</v>
      </c>
      <c r="H1217" s="393">
        <f t="shared" ref="H1217" si="551">H1223+H1228+H1218+H1231</f>
        <v>6390.6880000000001</v>
      </c>
      <c r="I1217" s="393">
        <f t="shared" si="525"/>
        <v>98.925011412689486</v>
      </c>
      <c r="J1217" s="413"/>
      <c r="K1217" s="401"/>
      <c r="L1217" s="192"/>
    </row>
    <row r="1218" spans="1:12" s="192" customFormat="1" ht="31.5" x14ac:dyDescent="0.25">
      <c r="A1218" s="265" t="s">
        <v>1362</v>
      </c>
      <c r="B1218" s="390">
        <v>910</v>
      </c>
      <c r="C1218" s="392" t="s">
        <v>118</v>
      </c>
      <c r="D1218" s="392" t="s">
        <v>215</v>
      </c>
      <c r="E1218" s="392" t="s">
        <v>1400</v>
      </c>
      <c r="F1218" s="395"/>
      <c r="G1218" s="397">
        <f>G1219+G1221</f>
        <v>4753.8</v>
      </c>
      <c r="H1218" s="397">
        <f t="shared" ref="H1218" si="552">H1219+H1221</f>
        <v>4684.6480000000001</v>
      </c>
      <c r="I1218" s="397">
        <f t="shared" si="525"/>
        <v>98.545332155328367</v>
      </c>
      <c r="J1218" s="413"/>
      <c r="K1218" s="401"/>
    </row>
    <row r="1219" spans="1:12" s="192" customFormat="1" ht="63" x14ac:dyDescent="0.25">
      <c r="A1219" s="396" t="s">
        <v>127</v>
      </c>
      <c r="B1219" s="390">
        <v>910</v>
      </c>
      <c r="C1219" s="392" t="s">
        <v>118</v>
      </c>
      <c r="D1219" s="392" t="s">
        <v>215</v>
      </c>
      <c r="E1219" s="392" t="s">
        <v>1400</v>
      </c>
      <c r="F1219" s="392" t="s">
        <v>128</v>
      </c>
      <c r="G1219" s="397">
        <f>G1220</f>
        <v>4485.8</v>
      </c>
      <c r="H1219" s="397">
        <f t="shared" ref="H1219" si="553">H1220</f>
        <v>4428.4480000000003</v>
      </c>
      <c r="I1219" s="397">
        <f t="shared" si="525"/>
        <v>98.721476659681656</v>
      </c>
      <c r="J1219" s="413"/>
      <c r="K1219" s="401"/>
    </row>
    <row r="1220" spans="1:12" s="192" customFormat="1" ht="31.5" x14ac:dyDescent="0.25">
      <c r="A1220" s="396" t="s">
        <v>129</v>
      </c>
      <c r="B1220" s="390">
        <v>910</v>
      </c>
      <c r="C1220" s="392" t="s">
        <v>118</v>
      </c>
      <c r="D1220" s="392" t="s">
        <v>215</v>
      </c>
      <c r="E1220" s="392" t="s">
        <v>1400</v>
      </c>
      <c r="F1220" s="392" t="s">
        <v>130</v>
      </c>
      <c r="G1220" s="397">
        <f>4154.6-35+13+300+95-41.8</f>
        <v>4485.8</v>
      </c>
      <c r="H1220" s="397">
        <v>4428.4480000000003</v>
      </c>
      <c r="I1220" s="397">
        <f t="shared" si="525"/>
        <v>98.721476659681656</v>
      </c>
      <c r="J1220" s="413"/>
      <c r="K1220" s="401"/>
    </row>
    <row r="1221" spans="1:12" s="192" customFormat="1" ht="31.5" x14ac:dyDescent="0.25">
      <c r="A1221" s="396" t="s">
        <v>198</v>
      </c>
      <c r="B1221" s="390">
        <v>910</v>
      </c>
      <c r="C1221" s="392" t="s">
        <v>118</v>
      </c>
      <c r="D1221" s="392" t="s">
        <v>215</v>
      </c>
      <c r="E1221" s="392" t="s">
        <v>1400</v>
      </c>
      <c r="F1221" s="392" t="s">
        <v>132</v>
      </c>
      <c r="G1221" s="397">
        <f>G1222</f>
        <v>268</v>
      </c>
      <c r="H1221" s="397">
        <f t="shared" ref="H1221" si="554">H1222</f>
        <v>256.2</v>
      </c>
      <c r="I1221" s="397">
        <f t="shared" si="525"/>
        <v>95.597014925373131</v>
      </c>
      <c r="J1221" s="413"/>
      <c r="K1221" s="401"/>
    </row>
    <row r="1222" spans="1:12" s="192" customFormat="1" ht="31.5" x14ac:dyDescent="0.25">
      <c r="A1222" s="396" t="s">
        <v>133</v>
      </c>
      <c r="B1222" s="390">
        <v>910</v>
      </c>
      <c r="C1222" s="392" t="s">
        <v>118</v>
      </c>
      <c r="D1222" s="392" t="s">
        <v>215</v>
      </c>
      <c r="E1222" s="392" t="s">
        <v>1400</v>
      </c>
      <c r="F1222" s="392" t="s">
        <v>134</v>
      </c>
      <c r="G1222" s="397">
        <f>93+175</f>
        <v>268</v>
      </c>
      <c r="H1222" s="397">
        <v>256.2</v>
      </c>
      <c r="I1222" s="397">
        <f t="shared" si="525"/>
        <v>95.597014925373131</v>
      </c>
      <c r="J1222" s="413"/>
      <c r="K1222" s="401"/>
    </row>
    <row r="1223" spans="1:12" ht="37.35" customHeight="1" x14ac:dyDescent="0.25">
      <c r="A1223" s="396" t="s">
        <v>989</v>
      </c>
      <c r="B1223" s="390">
        <v>910</v>
      </c>
      <c r="C1223" s="392" t="s">
        <v>118</v>
      </c>
      <c r="D1223" s="392" t="s">
        <v>215</v>
      </c>
      <c r="E1223" s="392" t="s">
        <v>990</v>
      </c>
      <c r="F1223" s="392"/>
      <c r="G1223" s="397">
        <f>G1224+G1226</f>
        <v>1388.2</v>
      </c>
      <c r="H1223" s="397">
        <f t="shared" ref="H1223" si="555">H1224+H1226</f>
        <v>1387.9169999999999</v>
      </c>
      <c r="I1223" s="397">
        <f t="shared" si="525"/>
        <v>99.979613888488686</v>
      </c>
      <c r="J1223" s="413"/>
      <c r="K1223" s="401"/>
      <c r="L1223" s="192"/>
    </row>
    <row r="1224" spans="1:12" ht="63" x14ac:dyDescent="0.25">
      <c r="A1224" s="396" t="s">
        <v>127</v>
      </c>
      <c r="B1224" s="390">
        <v>910</v>
      </c>
      <c r="C1224" s="392" t="s">
        <v>118</v>
      </c>
      <c r="D1224" s="392" t="s">
        <v>215</v>
      </c>
      <c r="E1224" s="392" t="s">
        <v>990</v>
      </c>
      <c r="F1224" s="392" t="s">
        <v>128</v>
      </c>
      <c r="G1224" s="397">
        <f>G1225</f>
        <v>1388.2</v>
      </c>
      <c r="H1224" s="397">
        <f t="shared" ref="H1224" si="556">H1225</f>
        <v>1387.9169999999999</v>
      </c>
      <c r="I1224" s="397">
        <f t="shared" si="525"/>
        <v>99.979613888488686</v>
      </c>
      <c r="J1224" s="413"/>
      <c r="K1224" s="401"/>
      <c r="L1224" s="192"/>
    </row>
    <row r="1225" spans="1:12" ht="31.5" x14ac:dyDescent="0.25">
      <c r="A1225" s="396" t="s">
        <v>129</v>
      </c>
      <c r="B1225" s="390">
        <v>910</v>
      </c>
      <c r="C1225" s="392" t="s">
        <v>118</v>
      </c>
      <c r="D1225" s="392" t="s">
        <v>215</v>
      </c>
      <c r="E1225" s="392" t="s">
        <v>990</v>
      </c>
      <c r="F1225" s="392" t="s">
        <v>130</v>
      </c>
      <c r="G1225" s="397">
        <f>1240.4+81+25+41.8</f>
        <v>1388.2</v>
      </c>
      <c r="H1225" s="397">
        <v>1387.9169999999999</v>
      </c>
      <c r="I1225" s="397">
        <f t="shared" si="525"/>
        <v>99.979613888488686</v>
      </c>
      <c r="J1225" s="413"/>
      <c r="K1225" s="401"/>
      <c r="L1225" s="192"/>
    </row>
    <row r="1226" spans="1:12" ht="31.5" hidden="1" x14ac:dyDescent="0.25">
      <c r="A1226" s="396" t="s">
        <v>198</v>
      </c>
      <c r="B1226" s="390">
        <v>910</v>
      </c>
      <c r="C1226" s="392" t="s">
        <v>118</v>
      </c>
      <c r="D1226" s="392" t="s">
        <v>215</v>
      </c>
      <c r="E1226" s="392" t="s">
        <v>990</v>
      </c>
      <c r="F1226" s="392" t="s">
        <v>132</v>
      </c>
      <c r="G1226" s="397">
        <f>G1227</f>
        <v>0</v>
      </c>
      <c r="H1226" s="397">
        <f t="shared" ref="H1226" si="557">H1227</f>
        <v>0</v>
      </c>
      <c r="I1226" s="397" t="e">
        <f t="shared" ref="I1226:I1245" si="558">H1226/G1226*100</f>
        <v>#DIV/0!</v>
      </c>
      <c r="J1226" s="413"/>
      <c r="K1226" s="401"/>
      <c r="L1226" s="192"/>
    </row>
    <row r="1227" spans="1:12" ht="31.5" hidden="1" x14ac:dyDescent="0.25">
      <c r="A1227" s="396" t="s">
        <v>133</v>
      </c>
      <c r="B1227" s="390">
        <v>910</v>
      </c>
      <c r="C1227" s="392" t="s">
        <v>118</v>
      </c>
      <c r="D1227" s="392" t="s">
        <v>215</v>
      </c>
      <c r="E1227" s="392" t="s">
        <v>990</v>
      </c>
      <c r="F1227" s="392" t="s">
        <v>134</v>
      </c>
      <c r="G1227" s="397">
        <v>0</v>
      </c>
      <c r="H1227" s="397">
        <v>0</v>
      </c>
      <c r="I1227" s="397" t="e">
        <f t="shared" si="558"/>
        <v>#DIV/0!</v>
      </c>
      <c r="J1227" s="413"/>
      <c r="K1227" s="401"/>
      <c r="L1227" s="192"/>
    </row>
    <row r="1228" spans="1:12" s="192" customFormat="1" ht="39.75" customHeight="1" x14ac:dyDescent="0.25">
      <c r="A1228" s="396" t="s">
        <v>838</v>
      </c>
      <c r="B1228" s="390">
        <v>910</v>
      </c>
      <c r="C1228" s="392" t="s">
        <v>118</v>
      </c>
      <c r="D1228" s="392" t="s">
        <v>215</v>
      </c>
      <c r="E1228" s="392" t="s">
        <v>988</v>
      </c>
      <c r="F1228" s="392"/>
      <c r="G1228" s="397">
        <f>G1229</f>
        <v>52</v>
      </c>
      <c r="H1228" s="397">
        <f t="shared" ref="H1228:H1229" si="559">H1229</f>
        <v>51.99</v>
      </c>
      <c r="I1228" s="397">
        <f t="shared" si="558"/>
        <v>99.980769230769241</v>
      </c>
      <c r="J1228" s="413"/>
      <c r="K1228" s="401"/>
    </row>
    <row r="1229" spans="1:12" s="192" customFormat="1" ht="69.75" customHeight="1" x14ac:dyDescent="0.25">
      <c r="A1229" s="396" t="s">
        <v>127</v>
      </c>
      <c r="B1229" s="390">
        <v>910</v>
      </c>
      <c r="C1229" s="392" t="s">
        <v>118</v>
      </c>
      <c r="D1229" s="392" t="s">
        <v>215</v>
      </c>
      <c r="E1229" s="392" t="s">
        <v>988</v>
      </c>
      <c r="F1229" s="392" t="s">
        <v>128</v>
      </c>
      <c r="G1229" s="397">
        <f>G1230</f>
        <v>52</v>
      </c>
      <c r="H1229" s="397">
        <f t="shared" si="559"/>
        <v>51.99</v>
      </c>
      <c r="I1229" s="397">
        <f t="shared" si="558"/>
        <v>99.980769230769241</v>
      </c>
      <c r="J1229" s="413"/>
      <c r="K1229" s="401"/>
    </row>
    <row r="1230" spans="1:12" s="192" customFormat="1" ht="35.450000000000003" customHeight="1" x14ac:dyDescent="0.25">
      <c r="A1230" s="396" t="s">
        <v>129</v>
      </c>
      <c r="B1230" s="390">
        <v>910</v>
      </c>
      <c r="C1230" s="392" t="s">
        <v>118</v>
      </c>
      <c r="D1230" s="392" t="s">
        <v>215</v>
      </c>
      <c r="E1230" s="392" t="s">
        <v>988</v>
      </c>
      <c r="F1230" s="392" t="s">
        <v>130</v>
      </c>
      <c r="G1230" s="397">
        <f>35+17</f>
        <v>52</v>
      </c>
      <c r="H1230" s="397">
        <v>51.99</v>
      </c>
      <c r="I1230" s="397">
        <f t="shared" si="558"/>
        <v>99.980769230769241</v>
      </c>
      <c r="J1230" s="413"/>
      <c r="K1230" s="401"/>
    </row>
    <row r="1231" spans="1:12" s="192" customFormat="1" ht="35.450000000000003" customHeight="1" x14ac:dyDescent="0.25">
      <c r="A1231" s="396" t="s">
        <v>1677</v>
      </c>
      <c r="B1231" s="390">
        <v>910</v>
      </c>
      <c r="C1231" s="392" t="s">
        <v>118</v>
      </c>
      <c r="D1231" s="392" t="s">
        <v>215</v>
      </c>
      <c r="E1231" s="392" t="s">
        <v>1683</v>
      </c>
      <c r="F1231" s="392"/>
      <c r="G1231" s="397">
        <f>G1232</f>
        <v>266.13369999999998</v>
      </c>
      <c r="H1231" s="397">
        <f t="shared" ref="H1231:H1232" si="560">H1232</f>
        <v>266.13299999999998</v>
      </c>
      <c r="I1231" s="397">
        <f t="shared" si="558"/>
        <v>99.999736974310281</v>
      </c>
      <c r="J1231" s="413"/>
      <c r="K1231" s="401"/>
    </row>
    <row r="1232" spans="1:12" s="192" customFormat="1" ht="63" x14ac:dyDescent="0.25">
      <c r="A1232" s="396" t="s">
        <v>127</v>
      </c>
      <c r="B1232" s="390">
        <v>910</v>
      </c>
      <c r="C1232" s="392" t="s">
        <v>118</v>
      </c>
      <c r="D1232" s="392" t="s">
        <v>215</v>
      </c>
      <c r="E1232" s="392" t="s">
        <v>1683</v>
      </c>
      <c r="F1232" s="392" t="s">
        <v>128</v>
      </c>
      <c r="G1232" s="397">
        <f>G1233</f>
        <v>266.13369999999998</v>
      </c>
      <c r="H1232" s="397">
        <f t="shared" si="560"/>
        <v>266.13299999999998</v>
      </c>
      <c r="I1232" s="397">
        <f t="shared" si="558"/>
        <v>99.999736974310281</v>
      </c>
      <c r="J1232" s="413"/>
      <c r="K1232" s="401"/>
    </row>
    <row r="1233" spans="1:45" s="192" customFormat="1" ht="35.450000000000003" customHeight="1" x14ac:dyDescent="0.25">
      <c r="A1233" s="396" t="s">
        <v>129</v>
      </c>
      <c r="B1233" s="390">
        <v>910</v>
      </c>
      <c r="C1233" s="392" t="s">
        <v>118</v>
      </c>
      <c r="D1233" s="392" t="s">
        <v>215</v>
      </c>
      <c r="E1233" s="392" t="s">
        <v>1683</v>
      </c>
      <c r="F1233" s="392" t="s">
        <v>130</v>
      </c>
      <c r="G1233" s="397">
        <v>266.13369999999998</v>
      </c>
      <c r="H1233" s="397">
        <v>266.13299999999998</v>
      </c>
      <c r="I1233" s="397">
        <f t="shared" si="558"/>
        <v>99.999736974310281</v>
      </c>
      <c r="J1233" s="413"/>
      <c r="K1233" s="401"/>
    </row>
    <row r="1234" spans="1:45" ht="47.25" x14ac:dyDescent="0.25">
      <c r="A1234" s="394" t="s">
        <v>119</v>
      </c>
      <c r="B1234" s="391">
        <v>910</v>
      </c>
      <c r="C1234" s="395" t="s">
        <v>118</v>
      </c>
      <c r="D1234" s="395" t="s">
        <v>120</v>
      </c>
      <c r="E1234" s="395"/>
      <c r="F1234" s="395"/>
      <c r="G1234" s="393">
        <f>G1235</f>
        <v>1442.1000000000004</v>
      </c>
      <c r="H1234" s="393">
        <f t="shared" ref="H1234:H1235" si="561">H1235</f>
        <v>1442.0429999999999</v>
      </c>
      <c r="I1234" s="393">
        <f t="shared" si="558"/>
        <v>99.996047430830004</v>
      </c>
      <c r="J1234" s="413"/>
      <c r="K1234" s="401"/>
      <c r="L1234" s="192"/>
    </row>
    <row r="1235" spans="1:45" s="111" customFormat="1" ht="31.5" x14ac:dyDescent="0.25">
      <c r="A1235" s="394" t="s">
        <v>916</v>
      </c>
      <c r="B1235" s="391">
        <v>910</v>
      </c>
      <c r="C1235" s="395" t="s">
        <v>118</v>
      </c>
      <c r="D1235" s="395" t="s">
        <v>120</v>
      </c>
      <c r="E1235" s="395" t="s">
        <v>857</v>
      </c>
      <c r="F1235" s="395"/>
      <c r="G1235" s="393">
        <f>G1236</f>
        <v>1442.1000000000004</v>
      </c>
      <c r="H1235" s="393">
        <f t="shared" si="561"/>
        <v>1442.0429999999999</v>
      </c>
      <c r="I1235" s="393">
        <f t="shared" si="558"/>
        <v>99.996047430830004</v>
      </c>
      <c r="J1235" s="416"/>
      <c r="K1235" s="127"/>
      <c r="L1235" s="193"/>
      <c r="AE1235" s="193"/>
      <c r="AF1235" s="193"/>
      <c r="AG1235" s="193"/>
      <c r="AH1235" s="193"/>
      <c r="AI1235" s="193"/>
      <c r="AJ1235" s="193"/>
      <c r="AK1235" s="193"/>
      <c r="AL1235" s="193"/>
      <c r="AM1235" s="193"/>
      <c r="AP1235" s="193"/>
      <c r="AQ1235" s="193"/>
      <c r="AS1235" s="193"/>
    </row>
    <row r="1236" spans="1:45" s="111" customFormat="1" ht="15.75" x14ac:dyDescent="0.25">
      <c r="A1236" s="394" t="s">
        <v>985</v>
      </c>
      <c r="B1236" s="391">
        <v>910</v>
      </c>
      <c r="C1236" s="395" t="s">
        <v>118</v>
      </c>
      <c r="D1236" s="395" t="s">
        <v>120</v>
      </c>
      <c r="E1236" s="395" t="s">
        <v>986</v>
      </c>
      <c r="F1236" s="395"/>
      <c r="G1236" s="393">
        <f>G1237+G1242</f>
        <v>1442.1000000000004</v>
      </c>
      <c r="H1236" s="393">
        <f t="shared" ref="H1236" si="562">H1237+H1242</f>
        <v>1442.0429999999999</v>
      </c>
      <c r="I1236" s="393">
        <f t="shared" si="558"/>
        <v>99.996047430830004</v>
      </c>
      <c r="J1236" s="416"/>
      <c r="K1236" s="127"/>
      <c r="L1236" s="193"/>
      <c r="AE1236" s="193"/>
      <c r="AF1236" s="193"/>
      <c r="AG1236" s="193"/>
      <c r="AH1236" s="193"/>
      <c r="AI1236" s="193"/>
      <c r="AJ1236" s="193"/>
      <c r="AK1236" s="193"/>
      <c r="AL1236" s="193"/>
      <c r="AM1236" s="193"/>
      <c r="AP1236" s="193"/>
      <c r="AQ1236" s="193"/>
      <c r="AS1236" s="193"/>
    </row>
    <row r="1237" spans="1:45" s="111" customFormat="1" ht="32.65" customHeight="1" x14ac:dyDescent="0.25">
      <c r="A1237" s="396" t="s">
        <v>896</v>
      </c>
      <c r="B1237" s="390">
        <v>910</v>
      </c>
      <c r="C1237" s="392" t="s">
        <v>118</v>
      </c>
      <c r="D1237" s="392" t="s">
        <v>120</v>
      </c>
      <c r="E1237" s="392" t="s">
        <v>990</v>
      </c>
      <c r="F1237" s="392"/>
      <c r="G1237" s="397">
        <f>G1238+G1240</f>
        <v>1347.6000000000004</v>
      </c>
      <c r="H1237" s="397">
        <f t="shared" ref="H1237" si="563">H1238+H1240</f>
        <v>1347.5429999999999</v>
      </c>
      <c r="I1237" s="397">
        <f t="shared" si="558"/>
        <v>99.995770258236831</v>
      </c>
      <c r="J1237" s="416"/>
      <c r="K1237" s="127"/>
      <c r="L1237" s="193"/>
      <c r="AE1237" s="193"/>
      <c r="AF1237" s="193"/>
      <c r="AG1237" s="193"/>
      <c r="AH1237" s="193"/>
      <c r="AI1237" s="193"/>
      <c r="AJ1237" s="193"/>
      <c r="AK1237" s="193"/>
      <c r="AL1237" s="193"/>
      <c r="AM1237" s="193"/>
      <c r="AP1237" s="193"/>
      <c r="AQ1237" s="193"/>
      <c r="AS1237" s="193"/>
    </row>
    <row r="1238" spans="1:45" ht="63" x14ac:dyDescent="0.25">
      <c r="A1238" s="396" t="s">
        <v>127</v>
      </c>
      <c r="B1238" s="390">
        <v>910</v>
      </c>
      <c r="C1238" s="392" t="s">
        <v>118</v>
      </c>
      <c r="D1238" s="392" t="s">
        <v>120</v>
      </c>
      <c r="E1238" s="392" t="s">
        <v>990</v>
      </c>
      <c r="F1238" s="392" t="s">
        <v>128</v>
      </c>
      <c r="G1238" s="397">
        <f>G1239</f>
        <v>1347.6000000000004</v>
      </c>
      <c r="H1238" s="397">
        <f t="shared" ref="H1238" si="564">H1239</f>
        <v>1347.5429999999999</v>
      </c>
      <c r="I1238" s="397">
        <f t="shared" si="558"/>
        <v>99.995770258236831</v>
      </c>
      <c r="J1238" s="413"/>
      <c r="K1238" s="401"/>
      <c r="L1238" s="192"/>
    </row>
    <row r="1239" spans="1:45" ht="31.5" x14ac:dyDescent="0.25">
      <c r="A1239" s="396" t="s">
        <v>129</v>
      </c>
      <c r="B1239" s="390">
        <v>910</v>
      </c>
      <c r="C1239" s="392" t="s">
        <v>118</v>
      </c>
      <c r="D1239" s="392" t="s">
        <v>120</v>
      </c>
      <c r="E1239" s="392" t="s">
        <v>990</v>
      </c>
      <c r="F1239" s="392" t="s">
        <v>130</v>
      </c>
      <c r="G1239" s="397">
        <f>1734.5-13+91-324.149-7.1-53.455-8.196-17.2-54.8</f>
        <v>1347.6000000000004</v>
      </c>
      <c r="H1239" s="397">
        <v>1347.5429999999999</v>
      </c>
      <c r="I1239" s="397">
        <f t="shared" si="558"/>
        <v>99.995770258236831</v>
      </c>
      <c r="J1239" s="413"/>
      <c r="K1239" s="401"/>
      <c r="L1239" s="192"/>
    </row>
    <row r="1240" spans="1:45" ht="31.5" hidden="1" x14ac:dyDescent="0.25">
      <c r="A1240" s="396" t="s">
        <v>198</v>
      </c>
      <c r="B1240" s="390">
        <v>910</v>
      </c>
      <c r="C1240" s="392" t="s">
        <v>118</v>
      </c>
      <c r="D1240" s="392" t="s">
        <v>120</v>
      </c>
      <c r="E1240" s="392" t="s">
        <v>990</v>
      </c>
      <c r="F1240" s="392" t="s">
        <v>132</v>
      </c>
      <c r="G1240" s="397">
        <f>G1241</f>
        <v>0</v>
      </c>
      <c r="H1240" s="397">
        <f t="shared" ref="H1240" si="565">H1241</f>
        <v>0</v>
      </c>
      <c r="I1240" s="397" t="e">
        <f t="shared" si="558"/>
        <v>#DIV/0!</v>
      </c>
      <c r="J1240" s="413"/>
      <c r="K1240" s="401"/>
      <c r="L1240" s="192"/>
    </row>
    <row r="1241" spans="1:45" ht="31.5" hidden="1" x14ac:dyDescent="0.25">
      <c r="A1241" s="396" t="s">
        <v>133</v>
      </c>
      <c r="B1241" s="390">
        <v>910</v>
      </c>
      <c r="C1241" s="392" t="s">
        <v>118</v>
      </c>
      <c r="D1241" s="392" t="s">
        <v>120</v>
      </c>
      <c r="E1241" s="392" t="s">
        <v>990</v>
      </c>
      <c r="F1241" s="392" t="s">
        <v>134</v>
      </c>
      <c r="G1241" s="397">
        <f>18-18</f>
        <v>0</v>
      </c>
      <c r="H1241" s="397">
        <f t="shared" ref="H1241" si="566">18-18</f>
        <v>0</v>
      </c>
      <c r="I1241" s="397" t="e">
        <f t="shared" si="558"/>
        <v>#DIV/0!</v>
      </c>
      <c r="J1241" s="413"/>
      <c r="K1241" s="401"/>
      <c r="L1241" s="192"/>
    </row>
    <row r="1242" spans="1:45" s="192" customFormat="1" ht="31.5" x14ac:dyDescent="0.25">
      <c r="A1242" s="396" t="s">
        <v>838</v>
      </c>
      <c r="B1242" s="390">
        <v>910</v>
      </c>
      <c r="C1242" s="392" t="s">
        <v>118</v>
      </c>
      <c r="D1242" s="392" t="s">
        <v>120</v>
      </c>
      <c r="E1242" s="392" t="s">
        <v>988</v>
      </c>
      <c r="F1242" s="392"/>
      <c r="G1242" s="397">
        <f>G1243</f>
        <v>94.5</v>
      </c>
      <c r="H1242" s="397">
        <f t="shared" ref="H1242:H1243" si="567">H1243</f>
        <v>94.5</v>
      </c>
      <c r="I1242" s="397">
        <f t="shared" si="558"/>
        <v>100</v>
      </c>
      <c r="J1242" s="413"/>
      <c r="K1242" s="401"/>
    </row>
    <row r="1243" spans="1:45" s="192" customFormat="1" ht="63" x14ac:dyDescent="0.25">
      <c r="A1243" s="396" t="s">
        <v>127</v>
      </c>
      <c r="B1243" s="390">
        <v>910</v>
      </c>
      <c r="C1243" s="392" t="s">
        <v>118</v>
      </c>
      <c r="D1243" s="392" t="s">
        <v>120</v>
      </c>
      <c r="E1243" s="392" t="s">
        <v>988</v>
      </c>
      <c r="F1243" s="392" t="s">
        <v>128</v>
      </c>
      <c r="G1243" s="397">
        <f>G1244</f>
        <v>94.5</v>
      </c>
      <c r="H1243" s="397">
        <f t="shared" si="567"/>
        <v>94.5</v>
      </c>
      <c r="I1243" s="397">
        <f t="shared" si="558"/>
        <v>100</v>
      </c>
      <c r="J1243" s="413"/>
      <c r="K1243" s="401"/>
    </row>
    <row r="1244" spans="1:45" s="192" customFormat="1" ht="31.5" x14ac:dyDescent="0.25">
      <c r="A1244" s="396" t="s">
        <v>129</v>
      </c>
      <c r="B1244" s="390">
        <v>910</v>
      </c>
      <c r="C1244" s="392" t="s">
        <v>118</v>
      </c>
      <c r="D1244" s="392" t="s">
        <v>120</v>
      </c>
      <c r="E1244" s="392" t="s">
        <v>988</v>
      </c>
      <c r="F1244" s="392" t="s">
        <v>130</v>
      </c>
      <c r="G1244" s="397">
        <f>46+50-1.5</f>
        <v>94.5</v>
      </c>
      <c r="H1244" s="397">
        <v>94.5</v>
      </c>
      <c r="I1244" s="397">
        <f t="shared" si="558"/>
        <v>100</v>
      </c>
      <c r="J1244" s="413"/>
      <c r="K1244" s="401"/>
    </row>
    <row r="1245" spans="1:45" ht="15.75" x14ac:dyDescent="0.25">
      <c r="A1245" s="48" t="s">
        <v>587</v>
      </c>
      <c r="B1245" s="48"/>
      <c r="C1245" s="395"/>
      <c r="D1245" s="395"/>
      <c r="E1245" s="395"/>
      <c r="F1245" s="395"/>
      <c r="G1245" s="338">
        <f>G1213+G958+G869+G621+G567+G259+G33+G9+G551</f>
        <v>971180.05836999998</v>
      </c>
      <c r="H1245" s="338">
        <f t="shared" ref="H1245" si="568">H1213+H958+H869+H621+H567+H259+H33+H9+H551</f>
        <v>945847.46700000006</v>
      </c>
      <c r="I1245" s="393">
        <f t="shared" si="558"/>
        <v>97.391565945812616</v>
      </c>
      <c r="K1245" s="192"/>
      <c r="L1245" s="192"/>
    </row>
    <row r="1246" spans="1:45" s="192" customFormat="1" ht="15.75" x14ac:dyDescent="0.25">
      <c r="A1246" s="259"/>
      <c r="B1246" s="259"/>
      <c r="C1246" s="260"/>
      <c r="D1246" s="260"/>
      <c r="E1246" s="260"/>
      <c r="F1246" s="260"/>
      <c r="G1246" s="454"/>
      <c r="H1246" s="454"/>
      <c r="I1246" s="454"/>
      <c r="J1246" s="414"/>
      <c r="K1246" s="560" t="s">
        <v>1332</v>
      </c>
      <c r="L1246" s="561"/>
      <c r="M1246" s="561"/>
      <c r="N1246" s="561"/>
      <c r="O1246" s="561"/>
      <c r="P1246" s="561"/>
      <c r="Q1246" s="561"/>
      <c r="R1246" s="561"/>
      <c r="S1246" s="561"/>
      <c r="T1246" s="562"/>
    </row>
    <row r="1247" spans="1:45" ht="28.5" hidden="1" customHeight="1" x14ac:dyDescent="0.25">
      <c r="A1247" s="50"/>
      <c r="B1247" s="50"/>
      <c r="C1247" s="50"/>
      <c r="D1247" s="50"/>
      <c r="E1247" s="50">
        <f>[2]пр.1дох.21!C85-[2]пр.1дох.21!C88-50906</f>
        <v>401462.41187999991</v>
      </c>
      <c r="F1247" s="50"/>
      <c r="K1247" s="280" t="s">
        <v>1278</v>
      </c>
      <c r="L1247" s="280" t="s">
        <v>1279</v>
      </c>
      <c r="M1247" s="280" t="s">
        <v>1280</v>
      </c>
      <c r="N1247" s="280" t="s">
        <v>1281</v>
      </c>
      <c r="O1247" s="280" t="s">
        <v>1331</v>
      </c>
      <c r="P1247" s="280" t="s">
        <v>1407</v>
      </c>
      <c r="Q1247" s="280" t="s">
        <v>1424</v>
      </c>
      <c r="R1247" s="280" t="s">
        <v>1458</v>
      </c>
      <c r="S1247" s="280" t="s">
        <v>1459</v>
      </c>
      <c r="T1247" s="280" t="s">
        <v>1460</v>
      </c>
      <c r="U1247" s="192"/>
      <c r="V1247" s="192"/>
      <c r="W1247" s="192"/>
      <c r="X1247" s="192"/>
      <c r="Y1247" s="192"/>
      <c r="Z1247" s="192"/>
      <c r="AA1247" s="192"/>
      <c r="AB1247" s="192"/>
    </row>
    <row r="1248" spans="1:45" ht="18.75" hidden="1" x14ac:dyDescent="0.3">
      <c r="A1248" s="50"/>
      <c r="B1248" s="50"/>
      <c r="C1248" s="51"/>
      <c r="D1248" s="51"/>
      <c r="E1248" s="51"/>
      <c r="F1248" s="341" t="s">
        <v>588</v>
      </c>
      <c r="G1248" s="339">
        <f>G1245-G1249</f>
        <v>569864.74148999993</v>
      </c>
      <c r="H1248" s="339">
        <f t="shared" ref="H1248:I1248" si="569">H1245-H1249</f>
        <v>486887.63000000018</v>
      </c>
      <c r="I1248" s="339" t="e">
        <f t="shared" si="569"/>
        <v>#DIV/0!</v>
      </c>
      <c r="J1248" s="423" t="s">
        <v>588</v>
      </c>
      <c r="K1248" s="352">
        <f>500+874</f>
        <v>1374</v>
      </c>
      <c r="L1248" s="408">
        <f>92.26-31-8.1</f>
        <v>53.160000000000004</v>
      </c>
      <c r="M1248" s="352">
        <v>0</v>
      </c>
      <c r="N1248" s="352">
        <v>0</v>
      </c>
      <c r="O1248" s="352">
        <v>0</v>
      </c>
      <c r="P1248" s="352">
        <v>217.2</v>
      </c>
      <c r="Q1248" s="352">
        <v>0</v>
      </c>
      <c r="R1248" s="352">
        <v>110.4</v>
      </c>
      <c r="S1248" s="352">
        <v>64.400000000000006</v>
      </c>
      <c r="T1248" s="370">
        <f>63+6.23</f>
        <v>69.23</v>
      </c>
      <c r="U1248" s="192"/>
      <c r="V1248" s="192"/>
      <c r="W1248" s="192"/>
      <c r="X1248" s="192"/>
      <c r="Y1248" s="192"/>
      <c r="Z1248" s="192"/>
      <c r="AA1248" s="192"/>
      <c r="AB1248" s="192"/>
    </row>
    <row r="1249" spans="1:42" ht="18.75" hidden="1" x14ac:dyDescent="0.3">
      <c r="A1249" s="50"/>
      <c r="B1249" s="50"/>
      <c r="C1249" s="51"/>
      <c r="D1249" s="51"/>
      <c r="E1249" s="51"/>
      <c r="F1249" s="341" t="s">
        <v>589</v>
      </c>
      <c r="G1249" s="339">
        <f>G53+G75+G220+G227+G237+G250+G253+G267+G270+G309+G332+G348+G407+G420+G431+G582+G604+G617+G636+G669+G673+G704+G746+G750+G754+G758+G762+G766+G774+G778+G800+G801+G833+G907+G915+G1024+G1042+G1132+G1151-K1248-L1248-P1248-R1248-S1248-T1248-AN1258+G683+G770+G438+G1142+G687+G209+G475+G395+G911+G1146+G1155+G24+G72+G46+G135+G153+G201+G329+G386+G443+G468+G489+G539+G564+G586+G795+G845+G866+G884+G933+G948+G976+G1088+G1169+G1202+G1231</f>
        <v>401315.31688000011</v>
      </c>
      <c r="H1249" s="339">
        <f t="shared" ref="H1249:I1249" si="570">H53+H75+H220+H227+H237+H250+H253+H267+H270+H309+H332+H348+H407+H420+H431+H582+H604+H617+H636+H669+H673+H704+H746+H750+H754+H758+H762+H766+H774+H778+H800+H801+H833+H907+H915+H1024+H1042+H1132+H1151-L1248-M1248-Q1248-S1248-T1248-U1248-AO1258+H683+H770+H438+H1142+H687+H209+H475+H395+H911+H1146+H1155+H24+H72+H46+H135+H153+H201+H329+H386+H443+H468+H489+H539+H564+H586+H795+H845+H866+H884+H933+H948+H976+H1088+H1169+H1202+H1231</f>
        <v>458959.83699999988</v>
      </c>
      <c r="I1249" s="339" t="e">
        <f t="shared" si="570"/>
        <v>#DIV/0!</v>
      </c>
      <c r="J1249" s="423" t="s">
        <v>589</v>
      </c>
      <c r="K1249" s="352">
        <v>21435.004000000001</v>
      </c>
      <c r="L1249" s="352">
        <f>922.6-354.1+31.1</f>
        <v>599.6</v>
      </c>
      <c r="M1249" s="352">
        <v>0</v>
      </c>
      <c r="N1249" s="352">
        <v>0</v>
      </c>
      <c r="O1249" s="352">
        <v>10000</v>
      </c>
      <c r="P1249" s="352">
        <v>5079.3999999999996</v>
      </c>
      <c r="Q1249" s="352">
        <v>0</v>
      </c>
      <c r="R1249" s="370">
        <f>2581.7-439.543</f>
        <v>2142.1569999999997</v>
      </c>
      <c r="S1249" s="352">
        <f>1506.3-15.05</f>
        <v>1491.25</v>
      </c>
      <c r="T1249" s="370">
        <v>700</v>
      </c>
      <c r="U1249" s="192"/>
      <c r="V1249" s="192"/>
      <c r="W1249" s="192"/>
      <c r="X1249" s="192"/>
      <c r="Y1249" s="192"/>
      <c r="Z1249" s="192"/>
      <c r="AA1249" s="192"/>
      <c r="AB1249" s="192"/>
    </row>
    <row r="1250" spans="1:42" s="192" customFormat="1" ht="18.75" hidden="1" x14ac:dyDescent="0.3">
      <c r="A1250" s="50"/>
      <c r="B1250" s="50"/>
      <c r="C1250" s="51"/>
      <c r="D1250" s="51"/>
      <c r="E1250" s="51"/>
      <c r="F1250" s="341"/>
      <c r="G1250" s="339">
        <f>H1248+H1249-G1248-G1249</f>
        <v>-25332.59136999998</v>
      </c>
      <c r="H1250" s="339" t="e">
        <f t="shared" ref="H1250:I1250" si="571">I1248+I1249-H1248-H1249</f>
        <v>#DIV/0!</v>
      </c>
      <c r="I1250" s="339" t="e">
        <f t="shared" si="571"/>
        <v>#VALUE!</v>
      </c>
      <c r="J1250" s="421" t="s">
        <v>1516</v>
      </c>
      <c r="K1250" s="352">
        <f>K1248+K1249</f>
        <v>22809.004000000001</v>
      </c>
      <c r="L1250" s="408">
        <f t="shared" ref="L1250:T1250" si="572">L1248+L1249</f>
        <v>652.76</v>
      </c>
      <c r="M1250" s="352">
        <f t="shared" si="572"/>
        <v>0</v>
      </c>
      <c r="N1250" s="352">
        <f t="shared" si="572"/>
        <v>0</v>
      </c>
      <c r="O1250" s="352">
        <f t="shared" si="572"/>
        <v>10000</v>
      </c>
      <c r="P1250" s="352">
        <f t="shared" si="572"/>
        <v>5296.5999999999995</v>
      </c>
      <c r="Q1250" s="352">
        <f t="shared" si="572"/>
        <v>0</v>
      </c>
      <c r="R1250" s="352">
        <f t="shared" si="572"/>
        <v>2252.5569999999998</v>
      </c>
      <c r="S1250" s="352">
        <f t="shared" si="572"/>
        <v>1555.65</v>
      </c>
      <c r="T1250" s="352">
        <f t="shared" si="572"/>
        <v>769.23</v>
      </c>
      <c r="U1250" s="214">
        <f>SUM(K1250:T1250)</f>
        <v>43335.800999999999</v>
      </c>
    </row>
    <row r="1251" spans="1:42" ht="15.75" hidden="1" x14ac:dyDescent="0.25">
      <c r="A1251" s="50"/>
      <c r="B1251" s="50"/>
      <c r="C1251" s="51"/>
      <c r="D1251" s="53"/>
      <c r="E1251" s="53"/>
      <c r="F1251" s="342" t="s">
        <v>674</v>
      </c>
      <c r="G1251" s="102">
        <f>[2]пр.1дох.21!C199-'Пр.4 ведом.21'!G1245</f>
        <v>-34877.70549000008</v>
      </c>
      <c r="H1251" s="102">
        <f>[2]пр.1дох.21!D199-'Пр.4 ведом.21'!H1245</f>
        <v>-10247.055999999982</v>
      </c>
      <c r="I1251" s="102">
        <f>[2]пр.1дох.21!E199-'Пр.4 ведом.21'!I1245</f>
        <v>2.5334644807541196</v>
      </c>
      <c r="K1251" s="369" t="s">
        <v>1425</v>
      </c>
      <c r="L1251" s="369" t="s">
        <v>1284</v>
      </c>
      <c r="M1251" s="369" t="s">
        <v>1285</v>
      </c>
      <c r="N1251" s="369" t="s">
        <v>1286</v>
      </c>
      <c r="O1251" s="369" t="s">
        <v>1285</v>
      </c>
      <c r="P1251" s="369" t="s">
        <v>1408</v>
      </c>
      <c r="Q1251" s="369" t="s">
        <v>1425</v>
      </c>
      <c r="R1251" s="369" t="s">
        <v>1408</v>
      </c>
      <c r="S1251" s="384" t="s">
        <v>1408</v>
      </c>
      <c r="T1251" s="369" t="s">
        <v>1461</v>
      </c>
      <c r="U1251" s="192"/>
      <c r="V1251" s="192"/>
      <c r="W1251" s="192"/>
      <c r="X1251" s="192"/>
      <c r="Y1251" s="192"/>
      <c r="Z1251" s="192"/>
      <c r="AA1251" s="192"/>
      <c r="AB1251" s="192"/>
    </row>
    <row r="1252" spans="1:42" ht="15.75" hidden="1" x14ac:dyDescent="0.25">
      <c r="A1252" s="50"/>
      <c r="B1252" s="50"/>
      <c r="C1252" s="51"/>
      <c r="D1252" s="53"/>
      <c r="E1252" s="53"/>
      <c r="F1252" s="53"/>
      <c r="G1252" s="102"/>
      <c r="H1252" s="102"/>
      <c r="I1252" s="102"/>
      <c r="K1252" s="115" t="str">
        <f>E1149</f>
        <v>65 0 F2 55550</v>
      </c>
      <c r="L1252" s="115" t="str">
        <f>E611</f>
        <v>02 0 02 01330</v>
      </c>
      <c r="M1252" s="192"/>
      <c r="N1252" s="192"/>
      <c r="O1252" s="192"/>
      <c r="P1252" s="115" t="str">
        <f>E765</f>
        <v>52 0 14 S3100</v>
      </c>
      <c r="Q1252" s="192"/>
      <c r="R1252" s="115"/>
      <c r="S1252" s="115"/>
      <c r="T1252" s="115"/>
      <c r="U1252" s="192"/>
      <c r="V1252" s="192"/>
      <c r="W1252" s="192"/>
      <c r="X1252" s="192"/>
      <c r="Y1252" s="192"/>
      <c r="Z1252" s="192"/>
      <c r="AA1252" s="192"/>
      <c r="AB1252" s="192"/>
    </row>
    <row r="1253" spans="1:42" ht="15.75" hidden="1" x14ac:dyDescent="0.25">
      <c r="A1253" s="50"/>
      <c r="B1253" s="50"/>
      <c r="C1253" s="51"/>
      <c r="D1253" s="53"/>
      <c r="E1253" s="53"/>
      <c r="F1253" s="53"/>
      <c r="G1253" s="102"/>
      <c r="H1253" s="102"/>
      <c r="I1253" s="102"/>
      <c r="K1253" s="362"/>
      <c r="L1253" s="214"/>
      <c r="M1253" s="192"/>
      <c r="N1253" s="192"/>
      <c r="O1253" s="192"/>
      <c r="P1253" s="192"/>
      <c r="Q1253" s="192"/>
      <c r="R1253" s="192"/>
      <c r="S1253" s="192"/>
      <c r="T1253" s="214">
        <f>K1249+L1249+M1249+N1249+O1249+P1249+Q1249+R1249+S1249+T1249</f>
        <v>41447.411</v>
      </c>
      <c r="U1253" s="192"/>
      <c r="V1253" s="192"/>
      <c r="W1253" s="192"/>
      <c r="X1253" s="192"/>
      <c r="Y1253" s="192"/>
      <c r="Z1253" s="192"/>
      <c r="AA1253" s="192"/>
      <c r="AB1253" s="192"/>
    </row>
    <row r="1254" spans="1:42" ht="15.75" hidden="1" x14ac:dyDescent="0.25">
      <c r="A1254" s="50"/>
      <c r="B1254" s="50"/>
      <c r="C1254" s="54">
        <v>1</v>
      </c>
      <c r="D1254" s="53"/>
      <c r="E1254" s="53"/>
      <c r="F1254" s="53"/>
      <c r="G1254" s="102">
        <f>G10+G34+G260+G568+G622+G959+G1214+G870+G553</f>
        <v>177451.61988000001</v>
      </c>
      <c r="H1254" s="102">
        <f t="shared" ref="H1254:I1254" si="573">H10+H34+H260+H568+H622+H959+H1214+H870+H553</f>
        <v>172737.878</v>
      </c>
      <c r="I1254" s="102" t="e">
        <f t="shared" si="573"/>
        <v>#DIV/0!</v>
      </c>
      <c r="K1254" s="362"/>
      <c r="L1254" s="192"/>
      <c r="M1254" s="192"/>
      <c r="N1254" s="192"/>
      <c r="O1254" s="192"/>
      <c r="P1254" s="192"/>
      <c r="Q1254" s="192"/>
      <c r="R1254" s="192"/>
      <c r="S1254" s="192"/>
      <c r="T1254" s="115" t="e">
        <f>E1149+E919+E779+E775+E763+E609</f>
        <v>#VALUE!</v>
      </c>
      <c r="U1254" s="192"/>
      <c r="V1254" s="192"/>
      <c r="W1254" s="192"/>
      <c r="X1254" s="192"/>
      <c r="Y1254" s="192"/>
      <c r="Z1254" s="192"/>
      <c r="AA1254" s="192"/>
      <c r="AB1254" s="192"/>
    </row>
    <row r="1255" spans="1:42" ht="15.75" hidden="1" customHeight="1" x14ac:dyDescent="0.25">
      <c r="A1255" s="50"/>
      <c r="B1255" s="50"/>
      <c r="C1255" s="54" t="s">
        <v>588</v>
      </c>
      <c r="D1255" s="53"/>
      <c r="E1255" s="53"/>
      <c r="F1255" s="53"/>
      <c r="G1255" s="102">
        <f>G1254-G1256</f>
        <v>173031.51988000001</v>
      </c>
      <c r="H1255" s="102">
        <f t="shared" ref="H1255:I1255" si="574">H1254-H1256</f>
        <v>169171.848</v>
      </c>
      <c r="I1255" s="102" t="e">
        <f t="shared" si="574"/>
        <v>#DIV/0!</v>
      </c>
      <c r="J1255" s="421"/>
      <c r="K1255" s="362"/>
      <c r="L1255" s="192"/>
      <c r="M1255" s="192"/>
      <c r="N1255" s="192"/>
      <c r="O1255" s="192"/>
      <c r="P1255" s="192"/>
      <c r="Q1255" s="192"/>
      <c r="R1255" s="192"/>
      <c r="S1255" s="192"/>
      <c r="T1255" s="192"/>
      <c r="U1255" s="192"/>
      <c r="V1255" s="192"/>
      <c r="W1255" s="192"/>
      <c r="X1255" s="192"/>
      <c r="Y1255" s="192"/>
      <c r="Z1255" s="192"/>
      <c r="AA1255" s="192"/>
      <c r="AB1255" s="192"/>
    </row>
    <row r="1256" spans="1:42" ht="15.75" hidden="1" x14ac:dyDescent="0.25">
      <c r="A1256" s="50"/>
      <c r="B1256" s="50"/>
      <c r="C1256" s="54" t="s">
        <v>589</v>
      </c>
      <c r="D1256" s="53"/>
      <c r="E1256" s="53"/>
      <c r="F1256" s="53"/>
      <c r="G1256" s="102">
        <f>G601+G115+G75+G582-L1248+G117-Y1258+G50+G265-Z1258-AB1258+G270</f>
        <v>4420.1000000000004</v>
      </c>
      <c r="H1256" s="102">
        <f t="shared" ref="H1256:I1256" si="575">H601+H115+H75+H582-M1248+H117-Z1258+H50+H265-AA1258-AC1258+H270</f>
        <v>3566.0299999999993</v>
      </c>
      <c r="I1256" s="102" t="e">
        <f t="shared" si="575"/>
        <v>#DIV/0!</v>
      </c>
      <c r="J1256" s="421"/>
      <c r="K1256" s="563" t="s">
        <v>1523</v>
      </c>
      <c r="L1256" s="564"/>
      <c r="M1256" s="564"/>
      <c r="N1256" s="564"/>
      <c r="O1256" s="564"/>
      <c r="P1256" s="564"/>
      <c r="Q1256" s="564"/>
      <c r="R1256" s="564"/>
      <c r="S1256" s="564"/>
      <c r="T1256" s="564"/>
      <c r="U1256" s="564"/>
      <c r="V1256" s="564"/>
      <c r="W1256" s="564"/>
      <c r="X1256" s="564"/>
      <c r="Y1256" s="564"/>
      <c r="Z1256" s="564"/>
      <c r="AA1256" s="564"/>
      <c r="AB1256" s="564"/>
      <c r="AC1256" s="564"/>
      <c r="AD1256" s="564"/>
      <c r="AE1256" s="564"/>
      <c r="AF1256" s="564"/>
      <c r="AG1256" s="406"/>
      <c r="AH1256" s="409"/>
      <c r="AI1256" s="411"/>
      <c r="AJ1256" s="412"/>
      <c r="AK1256" s="426"/>
      <c r="AL1256" s="428"/>
      <c r="AM1256" s="459"/>
    </row>
    <row r="1257" spans="1:42" ht="96" hidden="1" x14ac:dyDescent="0.25">
      <c r="A1257" s="50"/>
      <c r="B1257" s="50"/>
      <c r="C1257" s="54">
        <v>2</v>
      </c>
      <c r="D1257" s="53"/>
      <c r="E1257" s="53"/>
      <c r="F1257" s="53"/>
      <c r="G1257" s="102">
        <f>G175</f>
        <v>0</v>
      </c>
      <c r="H1257" s="102">
        <f t="shared" ref="H1257:I1257" si="576">H175</f>
        <v>0</v>
      </c>
      <c r="I1257" s="102" t="e">
        <f t="shared" si="576"/>
        <v>#DIV/0!</v>
      </c>
      <c r="K1257" s="383" t="s">
        <v>1466</v>
      </c>
      <c r="L1257" s="383" t="s">
        <v>1467</v>
      </c>
      <c r="M1257" s="383" t="s">
        <v>1469</v>
      </c>
      <c r="N1257" s="383" t="s">
        <v>1470</v>
      </c>
      <c r="O1257" s="383" t="s">
        <v>1471</v>
      </c>
      <c r="P1257" s="383" t="s">
        <v>1472</v>
      </c>
      <c r="Q1257" s="383" t="s">
        <v>1475</v>
      </c>
      <c r="R1257" s="383" t="s">
        <v>1477</v>
      </c>
      <c r="S1257" s="557" t="s">
        <v>1478</v>
      </c>
      <c r="T1257" s="558"/>
      <c r="U1257" s="559"/>
      <c r="V1257" s="383" t="s">
        <v>1481</v>
      </c>
      <c r="W1257" s="383" t="s">
        <v>1524</v>
      </c>
      <c r="X1257" s="383" t="s">
        <v>1525</v>
      </c>
      <c r="Y1257" s="383" t="s">
        <v>1482</v>
      </c>
      <c r="Z1257" s="383" t="s">
        <v>1527</v>
      </c>
      <c r="AA1257" s="383" t="s">
        <v>1486</v>
      </c>
      <c r="AB1257" s="383" t="s">
        <v>1547</v>
      </c>
      <c r="AC1257" s="383" t="s">
        <v>1548</v>
      </c>
      <c r="AD1257" s="383" t="s">
        <v>1549</v>
      </c>
      <c r="AE1257" s="383" t="s">
        <v>1558</v>
      </c>
      <c r="AF1257" s="383" t="s">
        <v>1558</v>
      </c>
      <c r="AG1257" s="383" t="s">
        <v>1563</v>
      </c>
      <c r="AH1257" s="383" t="s">
        <v>1574</v>
      </c>
      <c r="AI1257" s="383" t="s">
        <v>1580</v>
      </c>
      <c r="AJ1257" s="383" t="s">
        <v>1590</v>
      </c>
      <c r="AK1257" s="383" t="s">
        <v>1600</v>
      </c>
      <c r="AL1257" s="439" t="s">
        <v>1604</v>
      </c>
      <c r="AM1257" s="439" t="s">
        <v>1685</v>
      </c>
    </row>
    <row r="1258" spans="1:42" ht="15.75" hidden="1" x14ac:dyDescent="0.25">
      <c r="A1258" s="50"/>
      <c r="B1258" s="50"/>
      <c r="C1258" s="54">
        <v>3</v>
      </c>
      <c r="D1258" s="53"/>
      <c r="E1258" s="53"/>
      <c r="F1258" s="53"/>
      <c r="G1258" s="102">
        <f>G979+G182</f>
        <v>7435.9079100000008</v>
      </c>
      <c r="H1258" s="102">
        <f t="shared" ref="H1258:I1258" si="577">H979+H182</f>
        <v>7330.0119999999997</v>
      </c>
      <c r="I1258" s="102" t="e">
        <f t="shared" si="577"/>
        <v>#DIV/0!</v>
      </c>
      <c r="J1258" s="423" t="s">
        <v>588</v>
      </c>
      <c r="K1258" s="304">
        <v>3.5</v>
      </c>
      <c r="L1258" s="304">
        <v>3400</v>
      </c>
      <c r="M1258" s="361">
        <v>2000</v>
      </c>
      <c r="N1258" s="304">
        <v>84</v>
      </c>
      <c r="O1258" s="304">
        <v>868</v>
      </c>
      <c r="P1258" s="304">
        <v>124.4</v>
      </c>
      <c r="Q1258" s="304">
        <v>71.400000000000006</v>
      </c>
      <c r="R1258" s="304">
        <v>678</v>
      </c>
      <c r="S1258" s="360">
        <f>S1260-S1259</f>
        <v>19666.400000000001</v>
      </c>
      <c r="T1258" s="360">
        <f>T1260-T1259</f>
        <v>7077.4000000000015</v>
      </c>
      <c r="U1258" s="360">
        <f>U1260-U1259</f>
        <v>32510.000000000004</v>
      </c>
      <c r="V1258" s="304">
        <v>19</v>
      </c>
      <c r="W1258" s="361">
        <v>10</v>
      </c>
      <c r="X1258" s="361">
        <v>150</v>
      </c>
      <c r="Y1258" s="361">
        <v>1.64</v>
      </c>
      <c r="Z1258" s="361">
        <v>200</v>
      </c>
      <c r="AA1258" s="304">
        <v>0</v>
      </c>
      <c r="AB1258" s="304">
        <v>0</v>
      </c>
      <c r="AC1258" s="304">
        <v>135.5</v>
      </c>
      <c r="AD1258" s="304">
        <v>690.8</v>
      </c>
      <c r="AE1258" s="304">
        <v>9.8149999999999995</v>
      </c>
      <c r="AF1258" s="304">
        <v>12.185</v>
      </c>
      <c r="AG1258" s="304">
        <v>106.89</v>
      </c>
      <c r="AH1258" s="304">
        <f>21.5+41.001</f>
        <v>62.500999999999998</v>
      </c>
      <c r="AI1258" s="304">
        <v>152</v>
      </c>
      <c r="AJ1258" s="304">
        <v>205.9</v>
      </c>
      <c r="AK1258" s="304">
        <v>463.7</v>
      </c>
      <c r="AL1258" s="361">
        <v>63.805999999999997</v>
      </c>
      <c r="AM1258" s="361">
        <v>12.227</v>
      </c>
      <c r="AN1258" s="1">
        <f>SUM(K1258:AM1258)</f>
        <v>68779.063999999998</v>
      </c>
    </row>
    <row r="1259" spans="1:42" s="192" customFormat="1" ht="15.75" hidden="1" x14ac:dyDescent="0.25">
      <c r="A1259" s="50"/>
      <c r="B1259" s="50"/>
      <c r="C1259" s="54" t="s">
        <v>588</v>
      </c>
      <c r="D1259" s="53"/>
      <c r="E1259" s="53"/>
      <c r="F1259" s="53"/>
      <c r="G1259" s="102">
        <f>G1258-G1260</f>
        <v>6987.9079100000008</v>
      </c>
      <c r="H1259" s="102">
        <f t="shared" ref="H1259:I1259" si="578">H1258-H1260</f>
        <v>7029.5969999999998</v>
      </c>
      <c r="I1259" s="102" t="e">
        <f t="shared" si="578"/>
        <v>#DIV/0!</v>
      </c>
      <c r="J1259" s="423" t="s">
        <v>589</v>
      </c>
      <c r="K1259" s="304">
        <v>65.2</v>
      </c>
      <c r="L1259" s="304">
        <f>2161.1+498.9</f>
        <v>2660</v>
      </c>
      <c r="M1259" s="304">
        <f>1731.8-730</f>
        <v>1001.8</v>
      </c>
      <c r="N1259" s="304">
        <v>0</v>
      </c>
      <c r="O1259" s="304">
        <v>516.6</v>
      </c>
      <c r="P1259" s="304">
        <v>166.7</v>
      </c>
      <c r="Q1259" s="304">
        <v>1666.6</v>
      </c>
      <c r="R1259" s="304">
        <v>74.900000000000006</v>
      </c>
      <c r="S1259" s="361">
        <v>4071.2</v>
      </c>
      <c r="T1259" s="361">
        <v>1155.4000000000001</v>
      </c>
      <c r="U1259" s="361">
        <v>3375.3</v>
      </c>
      <c r="V1259" s="304">
        <f>[2]пр.1дох.21!C123</f>
        <v>0</v>
      </c>
      <c r="W1259" s="361">
        <v>0</v>
      </c>
      <c r="X1259" s="361">
        <v>0</v>
      </c>
      <c r="Y1259" s="304">
        <v>0</v>
      </c>
      <c r="Z1259" s="304">
        <f>[2]пр.1дох.21!C130</f>
        <v>247.3</v>
      </c>
      <c r="AA1259" s="304">
        <v>0</v>
      </c>
      <c r="AB1259" s="304">
        <v>0</v>
      </c>
      <c r="AC1259" s="304">
        <f>[2]пр.1дох.21!C132</f>
        <v>2729.2570000000001</v>
      </c>
      <c r="AD1259" s="304">
        <f>[2]пр.1дох.21!C131</f>
        <v>16158.20347</v>
      </c>
      <c r="AE1259" s="304">
        <v>0</v>
      </c>
      <c r="AF1259" s="304">
        <v>285</v>
      </c>
      <c r="AG1259" s="304">
        <v>2500</v>
      </c>
      <c r="AH1259" s="304">
        <f>501.7+449.3</f>
        <v>951</v>
      </c>
      <c r="AI1259" s="304">
        <v>448</v>
      </c>
      <c r="AJ1259" s="304">
        <v>4816.3</v>
      </c>
      <c r="AK1259" s="304">
        <v>4173.5</v>
      </c>
      <c r="AL1259" s="361">
        <v>1492.7</v>
      </c>
      <c r="AM1259" s="361">
        <v>268</v>
      </c>
      <c r="AN1259" s="192">
        <f t="shared" ref="AN1259:AN1260" si="579">SUM(K1259:AM1259)</f>
        <v>48822.960470000005</v>
      </c>
      <c r="AP1259" s="214">
        <f>T1253+AN1259</f>
        <v>90270.371470000013</v>
      </c>
    </row>
    <row r="1260" spans="1:42" s="192" customFormat="1" ht="15.75" hidden="1" x14ac:dyDescent="0.25">
      <c r="A1260" s="50"/>
      <c r="B1260" s="50"/>
      <c r="C1260" s="54" t="s">
        <v>589</v>
      </c>
      <c r="D1260" s="53"/>
      <c r="E1260" s="53"/>
      <c r="F1260" s="53"/>
      <c r="G1260" s="102">
        <f>G213-AI1258</f>
        <v>448</v>
      </c>
      <c r="H1260" s="102">
        <f t="shared" ref="H1260:I1260" si="580">H213-AJ1258</f>
        <v>300.41499999999996</v>
      </c>
      <c r="I1260" s="102">
        <f t="shared" si="580"/>
        <v>-379.31416666666667</v>
      </c>
      <c r="J1260" s="421" t="s">
        <v>1516</v>
      </c>
      <c r="K1260" s="352">
        <f t="shared" ref="K1260:R1260" si="581">K1258+K1259</f>
        <v>68.7</v>
      </c>
      <c r="L1260" s="352">
        <f t="shared" si="581"/>
        <v>6060</v>
      </c>
      <c r="M1260" s="352">
        <f t="shared" si="581"/>
        <v>3001.8</v>
      </c>
      <c r="N1260" s="352">
        <f t="shared" si="581"/>
        <v>84</v>
      </c>
      <c r="O1260" s="352">
        <f t="shared" si="581"/>
        <v>1384.6</v>
      </c>
      <c r="P1260" s="352">
        <f t="shared" si="581"/>
        <v>291.10000000000002</v>
      </c>
      <c r="Q1260" s="352">
        <f t="shared" si="581"/>
        <v>1738</v>
      </c>
      <c r="R1260" s="352">
        <f t="shared" si="581"/>
        <v>752.9</v>
      </c>
      <c r="S1260" s="352">
        <f>G798</f>
        <v>23737.600000000002</v>
      </c>
      <c r="T1260" s="352">
        <f>G332</f>
        <v>8232.8000000000011</v>
      </c>
      <c r="U1260" s="352">
        <f>G407</f>
        <v>35885.300000000003</v>
      </c>
      <c r="V1260" s="352">
        <f t="shared" ref="V1260:AL1260" si="582">V1258+V1259</f>
        <v>19</v>
      </c>
      <c r="W1260" s="352">
        <f t="shared" si="582"/>
        <v>10</v>
      </c>
      <c r="X1260" s="352">
        <f t="shared" si="582"/>
        <v>150</v>
      </c>
      <c r="Y1260" s="352">
        <f t="shared" si="582"/>
        <v>1.64</v>
      </c>
      <c r="Z1260" s="352">
        <f t="shared" si="582"/>
        <v>447.3</v>
      </c>
      <c r="AA1260" s="352">
        <f t="shared" si="582"/>
        <v>0</v>
      </c>
      <c r="AB1260" s="352">
        <f t="shared" si="582"/>
        <v>0</v>
      </c>
      <c r="AC1260" s="352">
        <f t="shared" si="582"/>
        <v>2864.7570000000001</v>
      </c>
      <c r="AD1260" s="352">
        <f t="shared" si="582"/>
        <v>16849.00347</v>
      </c>
      <c r="AE1260" s="352">
        <f t="shared" si="582"/>
        <v>9.8149999999999995</v>
      </c>
      <c r="AF1260" s="352">
        <f t="shared" si="582"/>
        <v>297.185</v>
      </c>
      <c r="AG1260" s="352">
        <f t="shared" si="582"/>
        <v>2606.89</v>
      </c>
      <c r="AH1260" s="352">
        <f t="shared" si="582"/>
        <v>1013.501</v>
      </c>
      <c r="AI1260" s="352">
        <f t="shared" si="582"/>
        <v>600</v>
      </c>
      <c r="AJ1260" s="352">
        <f t="shared" si="582"/>
        <v>5022.2</v>
      </c>
      <c r="AK1260" s="352">
        <f t="shared" si="582"/>
        <v>4637.2</v>
      </c>
      <c r="AL1260" s="440">
        <f t="shared" si="582"/>
        <v>1556.5060000000001</v>
      </c>
      <c r="AM1260" s="440">
        <f t="shared" ref="AM1260" si="583">AM1258+AM1259</f>
        <v>280.22699999999998</v>
      </c>
      <c r="AN1260" s="192">
        <f t="shared" si="579"/>
        <v>117602.02447</v>
      </c>
    </row>
    <row r="1261" spans="1:42" ht="15.75" hidden="1" x14ac:dyDescent="0.25">
      <c r="A1261" s="50"/>
      <c r="B1261" s="50"/>
      <c r="C1261" s="54">
        <v>4</v>
      </c>
      <c r="D1261" s="53"/>
      <c r="E1261" s="53"/>
      <c r="F1261" s="53"/>
      <c r="G1261" s="102">
        <f>G986+G298+G214</f>
        <v>8485.7000000000007</v>
      </c>
      <c r="H1261" s="102">
        <f t="shared" ref="H1261:I1261" si="584">H986+H298+H214</f>
        <v>8394.0419999999995</v>
      </c>
      <c r="I1261" s="102" t="e">
        <f t="shared" si="584"/>
        <v>#DIV/0!</v>
      </c>
      <c r="K1261" s="369" t="s">
        <v>1285</v>
      </c>
      <c r="L1261" s="369" t="s">
        <v>1468</v>
      </c>
      <c r="M1261" s="369" t="s">
        <v>1408</v>
      </c>
      <c r="N1261" s="369" t="s">
        <v>1408</v>
      </c>
      <c r="O1261" s="369" t="s">
        <v>1408</v>
      </c>
      <c r="P1261" s="369" t="s">
        <v>1473</v>
      </c>
      <c r="Q1261" s="369" t="s">
        <v>1476</v>
      </c>
      <c r="R1261" s="369" t="s">
        <v>1408</v>
      </c>
      <c r="S1261" s="384" t="s">
        <v>1479</v>
      </c>
      <c r="T1261" s="369" t="s">
        <v>1480</v>
      </c>
      <c r="U1261" s="384" t="s">
        <v>1285</v>
      </c>
      <c r="V1261" s="369" t="s">
        <v>1483</v>
      </c>
      <c r="W1261" s="369" t="s">
        <v>1286</v>
      </c>
      <c r="X1261" s="369" t="s">
        <v>1526</v>
      </c>
      <c r="Y1261" s="369" t="s">
        <v>1484</v>
      </c>
      <c r="Z1261" s="369" t="s">
        <v>1284</v>
      </c>
      <c r="AA1261" s="369" t="s">
        <v>1487</v>
      </c>
      <c r="AB1261" s="369" t="s">
        <v>1284</v>
      </c>
      <c r="AC1261" s="369" t="s">
        <v>1408</v>
      </c>
      <c r="AD1261" s="369" t="s">
        <v>1550</v>
      </c>
      <c r="AE1261" s="369" t="s">
        <v>1473</v>
      </c>
      <c r="AF1261" s="369" t="s">
        <v>1408</v>
      </c>
      <c r="AG1261" s="369" t="s">
        <v>1473</v>
      </c>
      <c r="AH1261" s="369" t="s">
        <v>1425</v>
      </c>
      <c r="AI1261" s="369" t="s">
        <v>1581</v>
      </c>
      <c r="AJ1261" s="369" t="s">
        <v>1595</v>
      </c>
      <c r="AK1261" s="369" t="s">
        <v>1425</v>
      </c>
      <c r="AL1261" s="441" t="s">
        <v>1425</v>
      </c>
      <c r="AM1261" s="441" t="s">
        <v>1686</v>
      </c>
    </row>
    <row r="1262" spans="1:42" ht="15.75" hidden="1" x14ac:dyDescent="0.25">
      <c r="A1262" s="50"/>
      <c r="B1262" s="50"/>
      <c r="C1262" s="54" t="s">
        <v>588</v>
      </c>
      <c r="D1262" s="53"/>
      <c r="E1262" s="53"/>
      <c r="F1262" s="53"/>
      <c r="G1262" s="102">
        <f>G1261-G1263</f>
        <v>8271.5</v>
      </c>
      <c r="H1262" s="102">
        <f t="shared" ref="H1262:I1262" si="585">H1261-H1263</f>
        <v>8041.4819999999991</v>
      </c>
      <c r="I1262" s="102" t="e">
        <f t="shared" si="585"/>
        <v>#DIV/0!</v>
      </c>
      <c r="AE1262" s="1"/>
      <c r="AF1262" s="1"/>
      <c r="AG1262" s="1"/>
      <c r="AH1262" s="1"/>
      <c r="AI1262" s="1"/>
    </row>
    <row r="1263" spans="1:42" ht="15.75" hidden="1" x14ac:dyDescent="0.25">
      <c r="A1263" s="50"/>
      <c r="B1263" s="50"/>
      <c r="C1263" s="54" t="s">
        <v>589</v>
      </c>
      <c r="D1263" s="53"/>
      <c r="E1263" s="53"/>
      <c r="F1263" s="53"/>
      <c r="G1263" s="102">
        <f>G307+G235+G227+G218-V1258-X1258-AA1258</f>
        <v>214.2</v>
      </c>
      <c r="H1263" s="102">
        <f t="shared" ref="H1263:I1263" si="586">H307+H235+H227+H218-W1258-Y1258-AB1258</f>
        <v>352.56</v>
      </c>
      <c r="I1263" s="102" t="e">
        <f t="shared" si="586"/>
        <v>#DIV/0!</v>
      </c>
      <c r="AE1263" s="1"/>
      <c r="AF1263" s="1"/>
      <c r="AG1263" s="1"/>
      <c r="AH1263" s="1"/>
      <c r="AI1263" s="1"/>
    </row>
    <row r="1264" spans="1:42" ht="15.75" hidden="1" x14ac:dyDescent="0.25">
      <c r="A1264" s="50"/>
      <c r="B1264" s="50"/>
      <c r="C1264" s="54">
        <v>5</v>
      </c>
      <c r="D1264" s="53"/>
      <c r="E1264" s="53"/>
      <c r="F1264" s="53"/>
      <c r="G1264" s="102">
        <f>G1007+G605</f>
        <v>201358.07167999999</v>
      </c>
      <c r="H1264" s="102">
        <f t="shared" ref="H1264:I1264" si="587">H1007+H605</f>
        <v>192991.54300000001</v>
      </c>
      <c r="I1264" s="102">
        <f t="shared" si="587"/>
        <v>195.83822439900831</v>
      </c>
      <c r="K1264" s="192" t="s">
        <v>1584</v>
      </c>
      <c r="L1264" s="115"/>
      <c r="M1264" s="192"/>
      <c r="N1264" s="192"/>
      <c r="O1264" s="192"/>
      <c r="P1264" s="192"/>
      <c r="Q1264" s="192"/>
      <c r="R1264" s="192"/>
      <c r="S1264" s="192"/>
      <c r="T1264" s="192"/>
      <c r="U1264" s="192"/>
      <c r="V1264" s="192"/>
      <c r="W1264" s="192"/>
      <c r="X1264" s="192"/>
      <c r="Y1264" s="192"/>
      <c r="Z1264" s="192"/>
      <c r="AA1264" s="192"/>
      <c r="AB1264" s="214"/>
    </row>
    <row r="1265" spans="1:28" ht="15.75" hidden="1" x14ac:dyDescent="0.25">
      <c r="A1265" s="50"/>
      <c r="B1265" s="50"/>
      <c r="C1265" s="54" t="s">
        <v>588</v>
      </c>
      <c r="D1265" s="53"/>
      <c r="E1265" s="53"/>
      <c r="F1265" s="53"/>
      <c r="G1265" s="102">
        <f>G1264-G1266</f>
        <v>149473.61450999998</v>
      </c>
      <c r="H1265" s="102">
        <f t="shared" ref="H1265:I1265" si="588">H1264-H1266</f>
        <v>140411.48200000002</v>
      </c>
      <c r="I1265" s="102" t="e">
        <f t="shared" si="588"/>
        <v>#DIV/0!</v>
      </c>
      <c r="J1265" s="414" t="s">
        <v>118</v>
      </c>
      <c r="K1265" s="115">
        <f>L1249+Y1259+Z1259+AB1259+G75</f>
        <v>4225.8</v>
      </c>
      <c r="L1265" s="115"/>
      <c r="M1265" s="115"/>
      <c r="N1265" s="115"/>
      <c r="O1265" s="115"/>
      <c r="P1265" s="115"/>
      <c r="Q1265" s="115"/>
      <c r="R1265" s="115"/>
      <c r="S1265" s="192"/>
      <c r="T1265" s="192"/>
      <c r="U1265" s="115"/>
      <c r="V1265" s="115" t="str">
        <f>E229</f>
        <v>01 0 03 74040</v>
      </c>
      <c r="W1265" s="115">
        <f>E259</f>
        <v>0</v>
      </c>
      <c r="X1265" s="115" t="str">
        <f>E246</f>
        <v>55 0 00 00000</v>
      </c>
      <c r="Y1265" s="115" t="e">
        <f>E123+E62</f>
        <v>#VALUE!</v>
      </c>
      <c r="Z1265" s="115" t="str">
        <f>E277</f>
        <v>63 0 01 01590</v>
      </c>
      <c r="AA1265" s="115">
        <f>E318</f>
        <v>0</v>
      </c>
      <c r="AB1265" s="192"/>
    </row>
    <row r="1266" spans="1:28" ht="15.75" hidden="1" x14ac:dyDescent="0.25">
      <c r="A1266" s="50"/>
      <c r="B1266" s="50"/>
      <c r="C1266" s="54" t="s">
        <v>589</v>
      </c>
      <c r="D1266" s="53"/>
      <c r="E1266" s="53"/>
      <c r="F1266" s="53"/>
      <c r="G1266" s="102">
        <f>G1039+G1132+G1149-K1248+G1104-Q1248-AH1258-AD1258+G1142+G1024+G1146-AK1258+G1155-AL1258</f>
        <v>51884.457170000009</v>
      </c>
      <c r="H1266" s="102">
        <f t="shared" ref="H1266:I1266" si="589">H1039+H1132+H1149-L1248+H1104-R1248-AI1258-AE1258+H1142+H1024+H1146-AL1258+H1155-AM1258</f>
        <v>52580.061000000002</v>
      </c>
      <c r="I1266" s="102" t="e">
        <f t="shared" si="589"/>
        <v>#DIV/0!</v>
      </c>
      <c r="J1266" s="414" t="s">
        <v>215</v>
      </c>
      <c r="K1266" s="192">
        <f>AI1259</f>
        <v>448</v>
      </c>
      <c r="L1266" s="192"/>
      <c r="M1266" s="192"/>
      <c r="N1266" s="192"/>
      <c r="O1266" s="192"/>
      <c r="P1266" s="192"/>
      <c r="Q1266" s="192"/>
      <c r="R1266" s="192"/>
      <c r="S1266" s="192"/>
      <c r="T1266" s="192"/>
      <c r="U1266" s="192"/>
      <c r="V1266" s="192"/>
      <c r="W1266" s="192"/>
      <c r="X1266" s="192"/>
      <c r="Y1266" s="192"/>
      <c r="Z1266" s="192"/>
      <c r="AA1266" s="192"/>
    </row>
    <row r="1267" spans="1:28" ht="15.75" hidden="1" x14ac:dyDescent="0.25">
      <c r="A1267" s="50"/>
      <c r="B1267" s="50"/>
      <c r="C1267" s="54">
        <v>7</v>
      </c>
      <c r="D1267" s="53"/>
      <c r="E1267" s="53"/>
      <c r="F1267" s="53"/>
      <c r="G1267" s="102">
        <f>G629+G318</f>
        <v>398874.81100000005</v>
      </c>
      <c r="H1267" s="102">
        <f t="shared" ref="H1267:I1267" si="590">H629+H318</f>
        <v>388852.90899999999</v>
      </c>
      <c r="I1267" s="102">
        <f t="shared" si="590"/>
        <v>192.79674665984288</v>
      </c>
      <c r="J1267" s="414" t="s">
        <v>150</v>
      </c>
      <c r="K1267" s="115">
        <f>X1259+AA1259+G227</f>
        <v>264.2</v>
      </c>
    </row>
    <row r="1268" spans="1:28" ht="15.75" hidden="1" x14ac:dyDescent="0.25">
      <c r="A1268" s="50"/>
      <c r="B1268" s="50"/>
      <c r="C1268" s="54" t="s">
        <v>588</v>
      </c>
      <c r="D1268" s="53"/>
      <c r="E1268" s="53"/>
      <c r="F1268" s="53"/>
      <c r="G1268" s="102">
        <f>G1267-G1269</f>
        <v>143818.44400000013</v>
      </c>
      <c r="H1268" s="102">
        <f t="shared" ref="H1268:I1268" si="591">H1267-H1269</f>
        <v>172090.90200000003</v>
      </c>
      <c r="I1268" s="102" t="e">
        <f t="shared" si="591"/>
        <v>#DIV/0!</v>
      </c>
      <c r="J1268" s="414" t="s">
        <v>234</v>
      </c>
      <c r="K1268" s="214">
        <f>K1249+Q1249+AD1259+AH1259+G1138+G1042</f>
        <v>45708.457170000001</v>
      </c>
      <c r="L1268" s="214">
        <f>G1266-K1268</f>
        <v>6176.0000000000073</v>
      </c>
    </row>
    <row r="1269" spans="1:28" ht="15.75" hidden="1" x14ac:dyDescent="0.25">
      <c r="A1269" s="50"/>
      <c r="B1269" s="50"/>
      <c r="C1269" s="54" t="s">
        <v>589</v>
      </c>
      <c r="D1269" s="53"/>
      <c r="E1269" s="53"/>
      <c r="F1269" s="53"/>
      <c r="G1269" s="102">
        <f>G801+G704+G636+G348+G771+G677+G756-P1248+G775-R1248-S1248+G831+G798+G760+G752+G748+G744+G674+G670+G332-L1258-M1258-N1258-O1258-P1258-Q1258-R1258-S1258-T1258-AC1258-AE1258-AF1258-AG1258+G683+G687+G763+G767+G392</f>
        <v>255056.36699999991</v>
      </c>
      <c r="H1269" s="102">
        <f t="shared" ref="H1269:I1269" si="592">H801+H704+H636+H348+H771+H677+H756-Q1248+H775-S1248-T1248+H831+H798+H760+H752+H748+H744+H674+H670+H332-M1258-N1258-O1258-P1258-Q1258-R1258-S1258-T1258-U1258-AD1258-AF1258-AG1258-AH1258+H683+H687+H763+H767+H392</f>
        <v>216762.00699999995</v>
      </c>
      <c r="I1269" s="102" t="e">
        <f t="shared" si="592"/>
        <v>#DIV/0!</v>
      </c>
      <c r="J1269" s="414" t="s">
        <v>264</v>
      </c>
      <c r="K1269" s="214">
        <f>P1249+R1249+S1249+L1259+M1259+N1259+O1259+P1259+Q1259+R1259+S1259+T1259+AE1259+AF1259+AG1259+G348+G395+G636+G704+G801+AC1259</f>
        <v>254726.27200000003</v>
      </c>
      <c r="L1269" s="214">
        <f>G1269-K1269</f>
        <v>330.09499999988475</v>
      </c>
    </row>
    <row r="1270" spans="1:28" ht="15.75" hidden="1" x14ac:dyDescent="0.25">
      <c r="A1270" s="50"/>
      <c r="B1270" s="50"/>
      <c r="C1270" s="54">
        <v>8</v>
      </c>
      <c r="D1270" s="53"/>
      <c r="E1270" s="53"/>
      <c r="F1270" s="53"/>
      <c r="G1270" s="102">
        <f>G396</f>
        <v>85236.564099999989</v>
      </c>
      <c r="H1270" s="102">
        <f t="shared" ref="H1270:I1270" si="593">H396</f>
        <v>84257.577000000005</v>
      </c>
      <c r="I1270" s="102">
        <f t="shared" si="593"/>
        <v>98.851447016504054</v>
      </c>
      <c r="J1270" s="414" t="s">
        <v>299</v>
      </c>
      <c r="K1270" s="115">
        <f>K1259+U1259+G420+G475</f>
        <v>7067.5</v>
      </c>
    </row>
    <row r="1271" spans="1:28" ht="15.75" hidden="1" x14ac:dyDescent="0.25">
      <c r="A1271" s="50"/>
      <c r="B1271" s="50"/>
      <c r="C1271" s="54" t="s">
        <v>588</v>
      </c>
      <c r="D1271" s="53"/>
      <c r="E1271" s="53"/>
      <c r="F1271" s="53"/>
      <c r="G1271" s="102">
        <f>G1270-G1272</f>
        <v>68169.064099999989</v>
      </c>
      <c r="H1271" s="102">
        <f t="shared" ref="H1271:I1271" si="594">H1270-H1272</f>
        <v>39166.872000000003</v>
      </c>
      <c r="I1271" s="102" t="e">
        <f t="shared" si="594"/>
        <v>#DIV/0!</v>
      </c>
      <c r="J1271" s="414" t="s">
        <v>244</v>
      </c>
      <c r="K1271" s="115">
        <f>G251</f>
        <v>3619.2000000000007</v>
      </c>
    </row>
    <row r="1272" spans="1:28" ht="15.75" hidden="1" x14ac:dyDescent="0.25">
      <c r="A1272" s="50"/>
      <c r="B1272" s="50"/>
      <c r="C1272" s="54" t="s">
        <v>589</v>
      </c>
      <c r="D1272" s="53"/>
      <c r="E1272" s="53"/>
      <c r="F1272" s="53"/>
      <c r="G1272" s="102">
        <f>G420+G439+G443-M1248-O1248+G432+G407-K1258-U1258+G438+G475</f>
        <v>17067.499999999996</v>
      </c>
      <c r="H1272" s="102">
        <f t="shared" ref="H1272:I1272" si="595">H420+H439+H443-N1248-P1248+H432+H407-L1258-V1258+H438+H475</f>
        <v>45090.705000000002</v>
      </c>
      <c r="I1272" s="102" t="e">
        <f t="shared" si="595"/>
        <v>#DIV/0!</v>
      </c>
      <c r="J1272" s="414" t="s">
        <v>491</v>
      </c>
      <c r="K1272" s="214">
        <f>T1249+G907+AJ1259</f>
        <v>6279.8</v>
      </c>
    </row>
    <row r="1273" spans="1:28" ht="15.75" hidden="1" x14ac:dyDescent="0.25">
      <c r="A1273" s="50"/>
      <c r="B1273" s="50"/>
      <c r="C1273" s="54">
        <v>10</v>
      </c>
      <c r="D1273" s="53"/>
      <c r="E1273" s="53"/>
      <c r="F1273" s="53"/>
      <c r="G1273" s="102">
        <f>G1205+G503+G238+G615</f>
        <v>16120.630000000001</v>
      </c>
      <c r="H1273" s="102">
        <f t="shared" ref="H1273:I1273" si="596">H1205+H503+H238+H615</f>
        <v>15542.630999999999</v>
      </c>
      <c r="I1273" s="102" t="e">
        <f t="shared" si="596"/>
        <v>#DIV/0!</v>
      </c>
      <c r="J1273" s="414" t="s">
        <v>238</v>
      </c>
    </row>
    <row r="1274" spans="1:28" ht="15.75" hidden="1" x14ac:dyDescent="0.25">
      <c r="A1274" s="50"/>
      <c r="B1274" s="50"/>
      <c r="C1274" s="54" t="s">
        <v>588</v>
      </c>
      <c r="D1274" s="53"/>
      <c r="E1274" s="53"/>
      <c r="F1274" s="53"/>
      <c r="G1274" s="102">
        <f>G1273-G1275</f>
        <v>12511.43</v>
      </c>
      <c r="H1274" s="102">
        <f t="shared" ref="H1274:I1274" si="597">H1273-H1275</f>
        <v>12651.09</v>
      </c>
      <c r="I1274" s="102" t="e">
        <f t="shared" si="597"/>
        <v>#DIV/0!</v>
      </c>
    </row>
    <row r="1275" spans="1:28" ht="15.75" hidden="1" x14ac:dyDescent="0.25">
      <c r="A1275" s="50"/>
      <c r="B1275" s="50"/>
      <c r="C1275" s="54" t="s">
        <v>589</v>
      </c>
      <c r="D1275" s="53"/>
      <c r="E1275" s="53"/>
      <c r="F1275" s="53"/>
      <c r="G1275" s="102">
        <f>G253+G508+G615-N1248+G248-W1258</f>
        <v>3609.2000000000007</v>
      </c>
      <c r="H1275" s="102">
        <f t="shared" ref="H1275:I1275" si="598">H253+H508+H615-O1248+H248-X1258</f>
        <v>2891.5409999999997</v>
      </c>
      <c r="I1275" s="102" t="e">
        <f t="shared" si="598"/>
        <v>#DIV/0!</v>
      </c>
      <c r="K1275" s="214"/>
    </row>
    <row r="1276" spans="1:28" ht="15.75" hidden="1" x14ac:dyDescent="0.25">
      <c r="A1276" s="50"/>
      <c r="B1276" s="50"/>
      <c r="C1276" s="54">
        <v>11</v>
      </c>
      <c r="D1276" s="53"/>
      <c r="E1276" s="53"/>
      <c r="F1276" s="53"/>
      <c r="G1276" s="102">
        <f>G877</f>
        <v>70582.803799999994</v>
      </c>
      <c r="H1276" s="102">
        <f t="shared" ref="H1276:I1276" si="599">H877</f>
        <v>70115.94</v>
      </c>
      <c r="I1276" s="102">
        <f t="shared" si="599"/>
        <v>99.338558721295811</v>
      </c>
    </row>
    <row r="1277" spans="1:28" ht="15.75" hidden="1" x14ac:dyDescent="0.25">
      <c r="A1277" s="50"/>
      <c r="B1277" s="50"/>
      <c r="C1277" s="54" t="s">
        <v>588</v>
      </c>
      <c r="D1277" s="53"/>
      <c r="E1277" s="53"/>
      <c r="F1277" s="53"/>
      <c r="G1277" s="102">
        <f>G1276-G1278</f>
        <v>64303.003799999991</v>
      </c>
      <c r="H1277" s="102">
        <f t="shared" ref="H1277:I1277" si="600">H1276-H1278</f>
        <v>64053.925999999999</v>
      </c>
      <c r="I1277" s="102">
        <f t="shared" si="600"/>
        <v>-133.02885319749922</v>
      </c>
    </row>
    <row r="1278" spans="1:28" ht="15.75" hidden="1" x14ac:dyDescent="0.25">
      <c r="A1278" s="50"/>
      <c r="B1278" s="50"/>
      <c r="C1278" s="54" t="s">
        <v>589</v>
      </c>
      <c r="D1278" s="53"/>
      <c r="E1278" s="53"/>
      <c r="F1278" s="53"/>
      <c r="G1278" s="102">
        <f>G907+G915-T1248+G911-AJ1258</f>
        <v>6279.8</v>
      </c>
      <c r="H1278" s="102">
        <f t="shared" ref="H1278:I1278" si="601">H907+H915-U1248+H911-AK1258</f>
        <v>6062.0140000000001</v>
      </c>
      <c r="I1278" s="102">
        <f t="shared" si="601"/>
        <v>232.36741191879503</v>
      </c>
    </row>
    <row r="1279" spans="1:28" ht="15.75" hidden="1" x14ac:dyDescent="0.25">
      <c r="A1279" s="50"/>
      <c r="B1279" s="50"/>
      <c r="C1279" s="54">
        <v>12</v>
      </c>
      <c r="D1279" s="53"/>
      <c r="E1279" s="53"/>
      <c r="F1279" s="53"/>
      <c r="G1279" s="102">
        <f>G528</f>
        <v>5633.9500000000007</v>
      </c>
      <c r="H1279" s="102">
        <f t="shared" ref="H1279:I1279" si="602">H528</f>
        <v>5624.9350000000004</v>
      </c>
      <c r="I1279" s="102">
        <f t="shared" si="602"/>
        <v>99.839987930315317</v>
      </c>
    </row>
    <row r="1280" spans="1:28" ht="15.75" hidden="1" x14ac:dyDescent="0.25">
      <c r="A1280" s="50"/>
      <c r="B1280" s="50"/>
      <c r="C1280" s="55"/>
      <c r="D1280" s="53"/>
      <c r="E1280" s="53"/>
      <c r="F1280" s="53"/>
      <c r="G1280" s="340">
        <f>G1254+G1257+G1258+G1261+G1264+G1267+G1270+G1273+G1276+G1279</f>
        <v>971180.05836999998</v>
      </c>
      <c r="H1280" s="340">
        <f t="shared" ref="H1280:I1280" si="603">H1254+H1257+H1258+H1261+H1264+H1267+H1270+H1273+H1276+H1279</f>
        <v>945847.46700000018</v>
      </c>
      <c r="I1280" s="340" t="e">
        <f t="shared" si="603"/>
        <v>#DIV/0!</v>
      </c>
    </row>
    <row r="1281" spans="1:9" ht="15.75" hidden="1" x14ac:dyDescent="0.25">
      <c r="A1281" s="50"/>
      <c r="B1281" s="50"/>
      <c r="C1281" s="54" t="s">
        <v>588</v>
      </c>
      <c r="D1281" s="53"/>
      <c r="E1281" s="53"/>
      <c r="F1281" s="53"/>
      <c r="G1281" s="340">
        <f>G1255+G1257+G1259+G1262+G1265+G1268+G1271+G1274+G1277+G1279</f>
        <v>632200.43420000002</v>
      </c>
      <c r="H1281" s="340">
        <f t="shared" ref="H1281:I1281" si="604">H1255+H1257+H1259+H1262+H1265+H1268+H1271+H1274+H1277+H1279</f>
        <v>618242.13399999996</v>
      </c>
      <c r="I1281" s="340" t="e">
        <f t="shared" si="604"/>
        <v>#DIV/0!</v>
      </c>
    </row>
    <row r="1282" spans="1:9" ht="15.75" hidden="1" x14ac:dyDescent="0.25">
      <c r="A1282" s="50"/>
      <c r="B1282" s="50"/>
      <c r="C1282" s="54" t="s">
        <v>589</v>
      </c>
      <c r="D1282" s="53"/>
      <c r="E1282" s="53"/>
      <c r="F1282" s="53"/>
      <c r="G1282" s="340">
        <f>G1256+G1263+G1266+G1269+G1272+G1275+G1278+G1260</f>
        <v>338979.62416999991</v>
      </c>
      <c r="H1282" s="340">
        <f t="shared" ref="H1282:I1282" si="605">H1256+H1263+H1266+H1269+H1272+H1275+H1278+H1260</f>
        <v>327605.33299999998</v>
      </c>
      <c r="I1282" s="340" t="e">
        <f t="shared" si="605"/>
        <v>#DIV/0!</v>
      </c>
    </row>
    <row r="1283" spans="1:9" hidden="1" x14ac:dyDescent="0.25"/>
    <row r="1284" spans="1:9" ht="18.75" hidden="1" x14ac:dyDescent="0.3">
      <c r="D1284" s="192" t="s">
        <v>590</v>
      </c>
      <c r="E1284" s="192">
        <v>50</v>
      </c>
      <c r="G1284" s="455">
        <f>G994</f>
        <v>4844.5</v>
      </c>
      <c r="H1284" s="455">
        <f t="shared" ref="H1284:I1284" si="606">H994</f>
        <v>4771.8419999999996</v>
      </c>
      <c r="I1284" s="455">
        <f t="shared" si="606"/>
        <v>98.500196098668596</v>
      </c>
    </row>
    <row r="1285" spans="1:9" ht="18.75" hidden="1" x14ac:dyDescent="0.3">
      <c r="E1285" s="192">
        <v>51</v>
      </c>
      <c r="G1285" s="455">
        <f>G262+G300+G369+G492+G505</f>
        <v>3324.3500000000004</v>
      </c>
      <c r="H1285" s="455">
        <f t="shared" ref="H1285:I1285" si="607">H262+H300+H369+H492+H505</f>
        <v>3323.8159999999998</v>
      </c>
      <c r="I1285" s="455" t="e">
        <f t="shared" si="607"/>
        <v>#DIV/0!</v>
      </c>
    </row>
    <row r="1286" spans="1:9" ht="18.75" hidden="1" x14ac:dyDescent="0.3">
      <c r="E1286" s="192">
        <v>52</v>
      </c>
      <c r="G1286" s="455">
        <f>G631+G699+G790+G829</f>
        <v>354344.60000000003</v>
      </c>
      <c r="H1286" s="455">
        <f t="shared" ref="H1286:I1286" si="608">H631+H699+H790+H829</f>
        <v>345768.31699999998</v>
      </c>
      <c r="I1286" s="455">
        <f t="shared" si="608"/>
        <v>378.88956539113383</v>
      </c>
    </row>
    <row r="1287" spans="1:9" ht="18.75" hidden="1" x14ac:dyDescent="0.3">
      <c r="E1287" s="192">
        <v>53</v>
      </c>
      <c r="G1287" s="455">
        <f>G233</f>
        <v>100</v>
      </c>
      <c r="H1287" s="455">
        <f t="shared" ref="H1287:I1287" si="609">H233</f>
        <v>100</v>
      </c>
      <c r="I1287" s="455">
        <f t="shared" si="609"/>
        <v>100</v>
      </c>
    </row>
    <row r="1288" spans="1:9" ht="18.75" hidden="1" x14ac:dyDescent="0.3">
      <c r="E1288" s="192">
        <v>54</v>
      </c>
      <c r="G1288" s="455">
        <f>G97+G49</f>
        <v>624.54</v>
      </c>
      <c r="H1288" s="455">
        <f t="shared" ref="H1288:I1288" si="610">H97+H49</f>
        <v>622.14200000000005</v>
      </c>
      <c r="I1288" s="455">
        <f t="shared" si="610"/>
        <v>99.878311125381288</v>
      </c>
    </row>
    <row r="1289" spans="1:9" ht="18.75" hidden="1" x14ac:dyDescent="0.3">
      <c r="E1289" s="192">
        <v>55</v>
      </c>
      <c r="G1289" s="455">
        <f>G246</f>
        <v>0</v>
      </c>
      <c r="H1289" s="455">
        <f t="shared" ref="H1289:I1289" si="611">H246</f>
        <v>0</v>
      </c>
      <c r="I1289" s="455" t="e">
        <f t="shared" si="611"/>
        <v>#DIV/0!</v>
      </c>
    </row>
    <row r="1290" spans="1:9" ht="18.75" hidden="1" x14ac:dyDescent="0.3">
      <c r="E1290" s="192">
        <v>56</v>
      </c>
      <c r="G1290" s="455"/>
      <c r="H1290" s="455"/>
      <c r="I1290" s="455"/>
    </row>
    <row r="1291" spans="1:9" ht="18.75" hidden="1" x14ac:dyDescent="0.3">
      <c r="E1291" s="192">
        <v>57</v>
      </c>
      <c r="G1291" s="455">
        <f>G879+G951</f>
        <v>58697.759999999995</v>
      </c>
      <c r="H1291" s="455">
        <f t="shared" ref="H1291:I1291" si="612">H879+H951</f>
        <v>58433.518999999993</v>
      </c>
      <c r="I1291" s="455">
        <f t="shared" si="612"/>
        <v>190.63827997799473</v>
      </c>
    </row>
    <row r="1292" spans="1:9" ht="18.75" hidden="1" x14ac:dyDescent="0.3">
      <c r="E1292" s="192">
        <v>58</v>
      </c>
      <c r="G1292" s="455">
        <f>G320+G530+G398</f>
        <v>87163.94</v>
      </c>
      <c r="H1292" s="455">
        <f t="shared" ref="H1292:I1292" si="613">H320+H530+H398</f>
        <v>85267.955000000002</v>
      </c>
      <c r="I1292" s="455">
        <f t="shared" si="613"/>
        <v>293.07095549679173</v>
      </c>
    </row>
    <row r="1293" spans="1:9" ht="18.75" hidden="1" x14ac:dyDescent="0.3">
      <c r="E1293" s="192">
        <v>59</v>
      </c>
      <c r="G1293" s="455">
        <f>G688+G779+G1197+G447+G498+G358</f>
        <v>108.5</v>
      </c>
      <c r="H1293" s="455">
        <f t="shared" ref="H1293:I1293" si="614">H688+H779+H1197+H447+H498+H358</f>
        <v>108.23</v>
      </c>
      <c r="I1293" s="455" t="e">
        <f t="shared" si="614"/>
        <v>#DIV/0!</v>
      </c>
    </row>
    <row r="1294" spans="1:9" ht="18.75" hidden="1" x14ac:dyDescent="0.3">
      <c r="E1294" s="192">
        <v>60</v>
      </c>
      <c r="G1294" s="455">
        <f>G1100</f>
        <v>10811.800999999999</v>
      </c>
      <c r="H1294" s="455">
        <f t="shared" ref="H1294:I1294" si="615">H1100</f>
        <v>10260.266</v>
      </c>
      <c r="I1294" s="455">
        <f t="shared" si="615"/>
        <v>94.898768484547574</v>
      </c>
    </row>
    <row r="1295" spans="1:9" ht="18.75" hidden="1" x14ac:dyDescent="0.3">
      <c r="E1295" s="192">
        <v>61</v>
      </c>
      <c r="G1295" s="455">
        <f>G216</f>
        <v>19</v>
      </c>
      <c r="H1295" s="455">
        <f t="shared" ref="H1295:I1295" si="616">H216</f>
        <v>0</v>
      </c>
      <c r="I1295" s="455">
        <f t="shared" si="616"/>
        <v>0</v>
      </c>
    </row>
    <row r="1296" spans="1:9" ht="18.75" hidden="1" x14ac:dyDescent="0.3">
      <c r="E1296" s="192">
        <v>62</v>
      </c>
      <c r="G1296" s="455">
        <f>G1056</f>
        <v>57060.592710000004</v>
      </c>
      <c r="H1296" s="455">
        <f t="shared" ref="H1296:I1296" si="617">H1056</f>
        <v>56962.98</v>
      </c>
      <c r="I1296" s="455">
        <f t="shared" si="617"/>
        <v>99.828931482545059</v>
      </c>
    </row>
    <row r="1297" spans="5:10" ht="18.75" hidden="1" x14ac:dyDescent="0.3">
      <c r="E1297" s="192">
        <v>63</v>
      </c>
      <c r="G1297" s="455">
        <f>G271+G624+G872</f>
        <v>20</v>
      </c>
      <c r="H1297" s="455">
        <f t="shared" ref="H1297:I1297" si="618">H271+H624+H872</f>
        <v>20</v>
      </c>
      <c r="I1297" s="455" t="e">
        <f t="shared" si="618"/>
        <v>#DIV/0!</v>
      </c>
    </row>
    <row r="1298" spans="5:10" ht="18.75" hidden="1" x14ac:dyDescent="0.3">
      <c r="E1298" s="192">
        <v>64</v>
      </c>
      <c r="G1298" s="455">
        <f>G156+G363+G452+G693+G784+G823+G919+G288+G550+G204</f>
        <v>4364.4000000000005</v>
      </c>
      <c r="H1298" s="455">
        <f t="shared" ref="H1298:I1298" si="619">H156+H363+H452+H693+H784+H823+H919+H288+H550+H204</f>
        <v>4163.098</v>
      </c>
      <c r="I1298" s="455">
        <f t="shared" si="619"/>
        <v>967.22255213284222</v>
      </c>
    </row>
    <row r="1299" spans="5:10" ht="18.75" hidden="1" x14ac:dyDescent="0.3">
      <c r="E1299" s="192">
        <v>65</v>
      </c>
      <c r="G1299" s="455">
        <f>G1147</f>
        <v>24365.510000000002</v>
      </c>
      <c r="H1299" s="455">
        <f t="shared" ref="H1299:I1299" si="620">H1147</f>
        <v>22808.713</v>
      </c>
      <c r="I1299" s="455">
        <f t="shared" si="620"/>
        <v>93.610652927026763</v>
      </c>
    </row>
    <row r="1300" spans="5:10" ht="18.75" hidden="1" x14ac:dyDescent="0.3">
      <c r="E1300" s="192">
        <v>66</v>
      </c>
      <c r="G1300" s="455">
        <f>G600</f>
        <v>652.7600000000001</v>
      </c>
      <c r="H1300" s="455">
        <f t="shared" ref="H1300:I1300" si="621">H600</f>
        <v>0</v>
      </c>
      <c r="I1300" s="455">
        <f t="shared" si="621"/>
        <v>0</v>
      </c>
    </row>
    <row r="1301" spans="5:10" ht="18.75" hidden="1" x14ac:dyDescent="0.3">
      <c r="E1301" s="192">
        <v>67</v>
      </c>
      <c r="G1301" s="455">
        <f>G165</f>
        <v>0</v>
      </c>
      <c r="H1301" s="455">
        <f t="shared" ref="H1301:I1301" si="622">H165</f>
        <v>0</v>
      </c>
      <c r="I1301" s="455" t="e">
        <f t="shared" si="622"/>
        <v>#DIV/0!</v>
      </c>
    </row>
    <row r="1302" spans="5:10" ht="18.75" hidden="1" x14ac:dyDescent="0.3">
      <c r="E1302" s="192">
        <v>69</v>
      </c>
      <c r="G1302" s="455">
        <f>G170+G293</f>
        <v>44.16</v>
      </c>
      <c r="H1302" s="455">
        <f t="shared" ref="H1302:I1302" si="623">H170+H293</f>
        <v>44.16</v>
      </c>
      <c r="I1302" s="455">
        <f t="shared" si="623"/>
        <v>200.00000000000003</v>
      </c>
    </row>
    <row r="1303" spans="5:10" s="192" customFormat="1" ht="18.75" hidden="1" x14ac:dyDescent="0.3">
      <c r="E1303" s="192">
        <v>70</v>
      </c>
      <c r="G1303" s="455">
        <f>G1093</f>
        <v>0</v>
      </c>
      <c r="H1303" s="455">
        <f t="shared" ref="H1303:I1303" si="624">H1093</f>
        <v>0</v>
      </c>
      <c r="I1303" s="455" t="e">
        <f t="shared" si="624"/>
        <v>#DIV/0!</v>
      </c>
      <c r="J1303" s="414"/>
    </row>
    <row r="1304" spans="5:10" ht="18.75" hidden="1" x14ac:dyDescent="0.3">
      <c r="G1304" s="455">
        <f>SUM(G1284:G1303)</f>
        <v>606546.41371000011</v>
      </c>
      <c r="H1304" s="455">
        <f t="shared" ref="H1304:I1304" si="625">SUM(H1284:H1303)</f>
        <v>592655.03799999994</v>
      </c>
      <c r="I1304" s="455" t="e">
        <f t="shared" si="625"/>
        <v>#DIV/0!</v>
      </c>
    </row>
    <row r="1305" spans="5:10" hidden="1" x14ac:dyDescent="0.25"/>
  </sheetData>
  <mergeCells count="4">
    <mergeCell ref="S1257:U1257"/>
    <mergeCell ref="K1246:T1246"/>
    <mergeCell ref="K1256:AF1256"/>
    <mergeCell ref="A5:I5"/>
  </mergeCells>
  <pageMargins left="0.23622047244094491" right="0.23622047244094491" top="0.35433070866141736" bottom="0.35433070866141736" header="0.31496062992125984" footer="0.31496062992125984"/>
  <pageSetup paperSize="9" scale="68" orientation="portrait" r:id="rId1"/>
  <rowBreaks count="2" manualBreakCount="2">
    <brk id="1188" max="8" man="1"/>
    <brk id="1245" max="6" man="1"/>
  </rowBreaks>
  <colBreaks count="3" manualBreakCount="3">
    <brk id="9" max="1201" man="1"/>
    <brk id="16" max="1201" man="1"/>
    <brk id="23" max="1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Пр.1. дох.21</vt:lpstr>
      <vt:lpstr>Пр.1.1. дох.22-23 (2)</vt:lpstr>
      <vt:lpstr>пр.2 Рд,пр 21</vt:lpstr>
      <vt:lpstr>пр.2.1. рдпр 22-23</vt:lpstr>
      <vt:lpstr>Пр.3 Рд,пр, ЦС,ВР 21</vt:lpstr>
      <vt:lpstr>пр.4.1. рдпр 22-23 (2)</vt:lpstr>
      <vt:lpstr>пр.3.1.рдпрцс 22-23</vt:lpstr>
      <vt:lpstr>пр.5.1.рдпрцс 22-23 (2)</vt:lpstr>
      <vt:lpstr>Пр.4 ведом.21</vt:lpstr>
      <vt:lpstr>Прил.№5 ведомств.старая</vt:lpstr>
      <vt:lpstr>пр.4.1.ведом.22-23</vt:lpstr>
      <vt:lpstr>пр.6.1.ведом.22-23 (2)</vt:lpstr>
      <vt:lpstr>пр.5 МП 21</vt:lpstr>
      <vt:lpstr>прил.№6 МП старая</vt:lpstr>
      <vt:lpstr>пр.5.1.МП 22-23</vt:lpstr>
      <vt:lpstr>пр.6 публ. 21</vt:lpstr>
      <vt:lpstr>пр.6.1.публ.22-23</vt:lpstr>
      <vt:lpstr>пр.7.1.МП 22-23 (2)</vt:lpstr>
      <vt:lpstr>пр.7 ист-ки 21</vt:lpstr>
      <vt:lpstr>пр.8.1.ист-ки 22-23  (2)</vt:lpstr>
      <vt:lpstr>пр.8.1.ист-ки 22-23 </vt:lpstr>
      <vt:lpstr>Лист1</vt:lpstr>
      <vt:lpstr>Лист1!Область_печати</vt:lpstr>
      <vt:lpstr>'Пр.1. дох.21'!Область_печати</vt:lpstr>
      <vt:lpstr>'Пр.1.1. дох.22-23 (2)'!Область_печати</vt:lpstr>
      <vt:lpstr>'пр.2 Рд,пр 21'!Область_печати</vt:lpstr>
      <vt:lpstr>'пр.2.1. рдпр 22-23'!Область_печати</vt:lpstr>
      <vt:lpstr>'Пр.3 Рд,пр, ЦС,ВР 21'!Область_печати</vt:lpstr>
      <vt:lpstr>'пр.3.1.рдпрцс 22-23'!Область_печати</vt:lpstr>
      <vt:lpstr>'Пр.4 ведом.21'!Область_печати</vt:lpstr>
      <vt:lpstr>'пр.4.1.ведом.22-23'!Область_печати</vt:lpstr>
      <vt:lpstr>'пр.5 МП 21'!Область_печати</vt:lpstr>
      <vt:lpstr>'пр.5.1.МП 22-23'!Область_печати</vt:lpstr>
      <vt:lpstr>'пр.5.1.рдпрцс 22-23 (2)'!Область_печати</vt:lpstr>
      <vt:lpstr>'пр.6.1.ведом.22-23 (2)'!Область_печати</vt:lpstr>
      <vt:lpstr>'пр.7 ист-ки 21'!Область_печати</vt:lpstr>
      <vt:lpstr>'пр.7.1.МП 22-23 (2)'!Область_печати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2022-04-20T06:11:50Z</dcterms:modified>
</cp:coreProperties>
</file>